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8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Default Extension="jpe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695" firstSheet="5" activeTab="8"/>
  </bookViews>
  <sheets>
    <sheet name="Modification" sheetId="1" state="hidden" r:id="rId1"/>
    <sheet name="Overview" sheetId="2" state="hidden" r:id="rId2"/>
    <sheet name="COVER_PAGE" sheetId="3" state="hidden" r:id="rId3"/>
    <sheet name="Remove_Empty" sheetId="4" state="hidden" r:id="rId4"/>
    <sheet name="Options" sheetId="5" state="hidden" r:id="rId5"/>
    <sheet name="TOC" sheetId="6" r:id="rId6"/>
    <sheet name="TABS" sheetId="7" state="hidden" r:id="rId7"/>
    <sheet name="Assess_Detail " sheetId="8" state="hidden" r:id="rId8"/>
    <sheet name="001" sheetId="9" r:id="rId9"/>
    <sheet name="201" sheetId="10" state="hidden" r:id="rId10"/>
    <sheet name="Exhibit A" sheetId="11" r:id="rId11"/>
    <sheet name="202" sheetId="12" state="hidden" r:id="rId12"/>
    <sheet name="203" sheetId="13" r:id="rId13"/>
    <sheet name="Amort 2014" sheetId="14" r:id="rId14"/>
    <sheet name="204" sheetId="15" r:id="rId15"/>
    <sheet name="Amort 2015" sheetId="16" r:id="rId16"/>
    <sheet name="Exhibit B" sheetId="17" r:id="rId17"/>
    <sheet name="Assess_Rates-Rev1" sheetId="18" r:id="rId18"/>
    <sheet name="Balance_Sheet" sheetId="19" state="hidden" r:id="rId19"/>
    <sheet name="Calc_wksht" sheetId="20" state="hidden" r:id="rId20"/>
    <sheet name="Sheet7" sheetId="21" state="hidden" r:id="rId21"/>
    <sheet name="Sheet8" sheetId="22" state="hidden" r:id="rId22"/>
    <sheet name="Sheet9" sheetId="23" state="hidden" r:id="rId23"/>
    <sheet name="Sheet10" sheetId="24" state="hidden" r:id="rId24"/>
    <sheet name="Sheet11" sheetId="25" state="hidden" r:id="rId25"/>
    <sheet name="Sheet12" sheetId="26" state="hidden" r:id="rId26"/>
    <sheet name="Sheet13" sheetId="27" state="hidden" r:id="rId27"/>
    <sheet name="Sheet14" sheetId="28" state="hidden" r:id="rId28"/>
    <sheet name="Sheet1" sheetId="29" state="hidden" r:id="rId29"/>
    <sheet name="Sheet2" sheetId="30" state="hidden" r:id="rId30"/>
    <sheet name="Sheet3" sheetId="31" state="hidden" r:id="rId31"/>
    <sheet name="Sheet4" sheetId="32" state="hidden" r:id="rId32"/>
    <sheet name="Sheet5" sheetId="33" state="hidden" r:id="rId33"/>
    <sheet name="Sheet6" sheetId="34" state="hidden" r:id="rId34"/>
    <sheet name="Sheet15" sheetId="35" state="hidden" r:id="rId35"/>
    <sheet name="Sheet16" sheetId="36" state="hidden" r:id="rId36"/>
    <sheet name="Assess_Rates-R1U1" sheetId="37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Key1" localSheetId="17">#REF!</definedName>
    <definedName name="_Key1">#REF!</definedName>
    <definedName name="_Key2" localSheetId="17">#REF!</definedName>
    <definedName name="_Key2">#REF!</definedName>
    <definedName name="_Order1">255</definedName>
    <definedName name="_Order2">255</definedName>
    <definedName name="_Sort" localSheetId="17">#REF!</definedName>
    <definedName name="_Sort">#REF!</definedName>
    <definedName name="Actual" localSheetId="13">[12]Options!$J$8</definedName>
    <definedName name="Actual" localSheetId="15">[12]Options!$J$8</definedName>
    <definedName name="Actual">[1]Options!$J$11</definedName>
    <definedName name="Actual_Prior_Year" localSheetId="13">[12]Options!$J$5</definedName>
    <definedName name="Actual_Prior_Year" localSheetId="15">[12]Options!$J$5</definedName>
    <definedName name="Actual_Prior_Year">[1]Options!$J$8</definedName>
    <definedName name="Actual_Prior_Year2">[1]Options!$J$7</definedName>
    <definedName name="Actual_Prior_Year3">[1]Options!$J$6</definedName>
    <definedName name="Actual_Prior_Year4">[1]Options!$J$5</definedName>
    <definedName name="ACTUALS" localSheetId="15">[2]Actuals!#REF!</definedName>
    <definedName name="ACTUALS" localSheetId="17">[2]Actuals!#REF!</definedName>
    <definedName name="ACTUALS" localSheetId="0">[2]Actuals!#REF!</definedName>
    <definedName name="ACTUALS" localSheetId="1">[2]Actuals!#REF!</definedName>
    <definedName name="ACTUALS">[2]Actuals!#REF!</definedName>
    <definedName name="Admin" localSheetId="17">#REF!</definedName>
    <definedName name="Admin">#REF!</definedName>
    <definedName name="ADOPTED_BUDGET" localSheetId="17">#REF!</definedName>
    <definedName name="ADOPTED_BUDGET">#REF!</definedName>
    <definedName name="Adopted_Budget_FY" localSheetId="13">[12]Options!$E$8</definedName>
    <definedName name="Adopted_Budget_FY" localSheetId="15">[12]Options!$E$8</definedName>
    <definedName name="Adopted_Budget_FY">[3]Options!$E$8</definedName>
    <definedName name="Adopted_Budget_PY" localSheetId="13">[12]Options!$J$6</definedName>
    <definedName name="Adopted_Budget_PY" localSheetId="15">[12]Options!$J$6</definedName>
    <definedName name="Adopted_Budget_PY">[1]Options!$J$9</definedName>
    <definedName name="Adopted_Budget_SY" localSheetId="13">[12]Options!$J$7</definedName>
    <definedName name="Adopted_Budget_SY" localSheetId="15">[12]Options!$J$7</definedName>
    <definedName name="Adopted_Budget_SY">[1]Options!$J$10</definedName>
    <definedName name="Bal_bud">Options!$D$9</definedName>
    <definedName name="Budget">#REF!</definedName>
    <definedName name="Budget_draft">Options!$D$16</definedName>
    <definedName name="Budget_Fiscal_Year" localSheetId="13">#REF!</definedName>
    <definedName name="Budget_Fiscal_Year" localSheetId="15">#REF!</definedName>
    <definedName name="Budget_Fiscal_Year" localSheetId="7">#REF!</definedName>
    <definedName name="Budget_Fiscal_Year" localSheetId="17">#REF!</definedName>
    <definedName name="Budget_Fiscal_Year">Options!$D$4</definedName>
    <definedName name="Budget_Name" localSheetId="17">#REF!</definedName>
    <definedName name="Budget_Name">#REF!</definedName>
    <definedName name="CDD" localSheetId="13">#REF!</definedName>
    <definedName name="CDD" localSheetId="15">#REF!</definedName>
    <definedName name="CDD" localSheetId="7">#REF!</definedName>
    <definedName name="CDD" localSheetId="17">#REF!</definedName>
    <definedName name="CDD" localSheetId="0">#REF!</definedName>
    <definedName name="CDD" localSheetId="1">#REF!</definedName>
    <definedName name="CDD">Balance_Sheet!$C$6</definedName>
    <definedName name="CDD_NAME" localSheetId="13">#REF!</definedName>
    <definedName name="CDD_NAME" localSheetId="15">#REF!</definedName>
    <definedName name="CDD_NAME" localSheetId="7">#REF!</definedName>
    <definedName name="CDD_NAME" localSheetId="17">#REF!</definedName>
    <definedName name="CDD_NAME" localSheetId="0">#REF!</definedName>
    <definedName name="CDD_NAME" localSheetId="1">#REF!</definedName>
    <definedName name="CDD_NAME">Balance_Sheet!$C$9</definedName>
    <definedName name="Closing" localSheetId="15">[4]Options!#REF!</definedName>
    <definedName name="Closing" localSheetId="17">[4]Options!#REF!</definedName>
    <definedName name="Closing" localSheetId="0">[4]Options!#REF!</definedName>
    <definedName name="Closing" localSheetId="1">[4]Options!#REF!</definedName>
    <definedName name="Closing">[4]Options!#REF!</definedName>
    <definedName name="CM_ACTUAL" localSheetId="17">#REF!</definedName>
    <definedName name="CM_ACTUAL">#REF!</definedName>
    <definedName name="CM_BUDGET" localSheetId="17">#REF!</definedName>
    <definedName name="CM_BUDGET">#REF!</definedName>
    <definedName name="CM_VARIANCE" localSheetId="17">#REF!</definedName>
    <definedName name="CM_VARIANCE">#REF!</definedName>
    <definedName name="COGS">Options!$D$14</definedName>
    <definedName name="company" localSheetId="13">[12]Options!$E$7</definedName>
    <definedName name="company" localSheetId="15">[12]Options!$E$7</definedName>
    <definedName name="company" localSheetId="17">#REF!</definedName>
    <definedName name="company">#REF!</definedName>
    <definedName name="CPF_filter" localSheetId="17">#REF!</definedName>
    <definedName name="CPF_filter">#REF!</definedName>
    <definedName name="CURRENT_MONTH_BUD" localSheetId="17">#REF!</definedName>
    <definedName name="CURRENT_MONTH_BUD">#REF!</definedName>
    <definedName name="Date">#REF!</definedName>
    <definedName name="Debt" localSheetId="13">#REF!</definedName>
    <definedName name="Debt" localSheetId="15">#REF!</definedName>
    <definedName name="Debt" localSheetId="17">#REF!</definedName>
    <definedName name="Debt">#REF!</definedName>
    <definedName name="Deed" localSheetId="13">#REF!</definedName>
    <definedName name="Deed" localSheetId="15">#REF!</definedName>
    <definedName name="Deed" localSheetId="17">#REF!</definedName>
    <definedName name="Deed">#REF!</definedName>
    <definedName name="Detail" localSheetId="15">#REF!</definedName>
    <definedName name="Detail" localSheetId="17">#REF!</definedName>
    <definedName name="Detail" localSheetId="0">#REF!</definedName>
    <definedName name="Detail" localSheetId="1">#REF!</definedName>
    <definedName name="Detail">#REF!</definedName>
    <definedName name="Direct_Deposit" localSheetId="15">[5]Var!#REF!</definedName>
    <definedName name="Direct_Deposit" localSheetId="17">[5]Var!#REF!</definedName>
    <definedName name="Direct_Deposit" localSheetId="0">[5]Var!#REF!</definedName>
    <definedName name="Direct_Deposit" localSheetId="1">[5]Var!#REF!</definedName>
    <definedName name="Direct_Deposit">[5]Var!#REF!</definedName>
    <definedName name="District_Name">Options!$D$3</definedName>
    <definedName name="ds" localSheetId="15">[6]actual!#REF!</definedName>
    <definedName name="ds" localSheetId="17">[6]actual!#REF!</definedName>
    <definedName name="ds" localSheetId="0">[6]actual!#REF!</definedName>
    <definedName name="ds" localSheetId="1">[6]actual!#REF!</definedName>
    <definedName name="ds">[6]actual!#REF!</definedName>
    <definedName name="DSF_filter" localSheetId="17">#REF!</definedName>
    <definedName name="DSF_filter">#REF!</definedName>
    <definedName name="dsone" localSheetId="15">[6]actual!#REF!</definedName>
    <definedName name="dsone" localSheetId="17">[6]actual!#REF!</definedName>
    <definedName name="dsone" localSheetId="0">[6]actual!#REF!</definedName>
    <definedName name="dsone" localSheetId="1">[6]actual!#REF!</definedName>
    <definedName name="dsone">[6]actual!#REF!</definedName>
    <definedName name="dstwo" localSheetId="15">[6]actual!#REF!</definedName>
    <definedName name="dstwo" localSheetId="17">[6]actual!#REF!</definedName>
    <definedName name="dstwo" localSheetId="0">[6]actual!#REF!</definedName>
    <definedName name="dstwo" localSheetId="1">[6]actual!#REF!</definedName>
    <definedName name="dstwo">[6]actual!#REF!</definedName>
    <definedName name="End_Date">#REF!</definedName>
    <definedName name="End_date_SOR">Options!$D$5</definedName>
    <definedName name="Enddate" localSheetId="15">#REF!</definedName>
    <definedName name="Enddate" localSheetId="17">#REF!</definedName>
    <definedName name="Enddate" localSheetId="0">#REF!</definedName>
    <definedName name="Enddate" localSheetId="1">#REF!</definedName>
    <definedName name="Enddate">#REF!</definedName>
    <definedName name="ENT_filter" localSheetId="17">#REF!</definedName>
    <definedName name="ENT_filter">#REF!</definedName>
    <definedName name="Field" localSheetId="17">#REF!</definedName>
    <definedName name="Field">#REF!</definedName>
    <definedName name="firstDate" localSheetId="17">#REF!</definedName>
    <definedName name="firstDate">#REF!</definedName>
    <definedName name="Fund" localSheetId="13">[12]Options!$E$10</definedName>
    <definedName name="Fund" localSheetId="15">[12]Options!$E$10</definedName>
    <definedName name="Fund" localSheetId="17">#REF!</definedName>
    <definedName name="Fund">#REF!</definedName>
    <definedName name="Fund_no">Options!$D$6</definedName>
    <definedName name="fund002" localSheetId="15">(#REF!,#REF!)</definedName>
    <definedName name="fund002" localSheetId="17">(#REF!,#REF!)</definedName>
    <definedName name="fund002" localSheetId="0">(#REF!,#REF!)</definedName>
    <definedName name="fund002" localSheetId="1">(#REF!,#REF!)</definedName>
    <definedName name="fund002">(#REF!,#REF!)</definedName>
    <definedName name="FY" localSheetId="15">[7]Options!#REF!</definedName>
    <definedName name="FY" localSheetId="17">[7]Options!#REF!</definedName>
    <definedName name="FY" localSheetId="0">[7]Options!#REF!</definedName>
    <definedName name="FY" localSheetId="1">[7]Options!#REF!</definedName>
    <definedName name="FY">[7]Options!#REF!</definedName>
    <definedName name="FYStart" localSheetId="15">#REF!</definedName>
    <definedName name="FYStart" localSheetId="17">#REF!</definedName>
    <definedName name="FYStart" localSheetId="0">#REF!</definedName>
    <definedName name="FYStart" localSheetId="1">#REF!</definedName>
    <definedName name="FYStart">#REF!</definedName>
    <definedName name="GASB54">Options!$D$17</definedName>
    <definedName name="GF_filter" localSheetId="17">#REF!</definedName>
    <definedName name="GF_filter">#REF!</definedName>
    <definedName name="GL_ACCOUNT">#REF!</definedName>
    <definedName name="HIDE_ATTACHED" localSheetId="17">#REF!</definedName>
    <definedName name="HIDE_ATTACHED">#REF!</definedName>
    <definedName name="Hide_PT">Options!$D$11</definedName>
    <definedName name="Include_Nav">Options!$D$10</definedName>
    <definedName name="lastDate" localSheetId="17">#REF!</definedName>
    <definedName name="lastDate">#REF!</definedName>
    <definedName name="march" localSheetId="15">[2]Actuals!#REF!</definedName>
    <definedName name="march" localSheetId="17">[2]Actuals!#REF!</definedName>
    <definedName name="march" localSheetId="0">[2]Actuals!#REF!</definedName>
    <definedName name="march" localSheetId="1">[2]Actuals!#REF!</definedName>
    <definedName name="march">[2]Actuals!#REF!</definedName>
    <definedName name="Months" localSheetId="15">#REF!</definedName>
    <definedName name="Months" localSheetId="17">#REF!</definedName>
    <definedName name="Months" localSheetId="0">#REF!</definedName>
    <definedName name="Months" localSheetId="1">#REF!</definedName>
    <definedName name="Months">#REF!</definedName>
    <definedName name="NET_ASSETS" localSheetId="15">#REF!</definedName>
    <definedName name="NET_ASSETS" localSheetId="17">#REF!</definedName>
    <definedName name="NET_ASSETS" localSheetId="0">#REF!</definedName>
    <definedName name="NET_ASSETS" localSheetId="1">#REF!</definedName>
    <definedName name="NET_ASSETS">#REF!</definedName>
    <definedName name="NETIMCOME" localSheetId="13">#REF!</definedName>
    <definedName name="NETIMCOME" localSheetId="15">#REF!</definedName>
    <definedName name="NETIMCOME" localSheetId="17">#REF!</definedName>
    <definedName name="NETIMCOME" localSheetId="0">#REF!</definedName>
    <definedName name="NETIMCOME" localSheetId="1">#REF!</definedName>
    <definedName name="NETIMCOME">#REF!</definedName>
    <definedName name="NETIMCOME2">[8]GF!$F$77</definedName>
    <definedName name="NETINCOME" localSheetId="15">[9]WS!#REF!</definedName>
    <definedName name="NETINCOME" localSheetId="17">[9]WS!#REF!</definedName>
    <definedName name="NETINCOME" localSheetId="0">[9]WS!#REF!</definedName>
    <definedName name="NETINCOME" localSheetId="1">[9]WS!#REF!</definedName>
    <definedName name="NETINCOME">[9]WS!#REF!</definedName>
    <definedName name="new" localSheetId="15">#REF!</definedName>
    <definedName name="new" localSheetId="17">#REF!</definedName>
    <definedName name="new" localSheetId="0">#REF!</definedName>
    <definedName name="new" localSheetId="1">#REF!</definedName>
    <definedName name="new">#REF!</definedName>
    <definedName name="New_FundNo_BS">Remove_Empty!$I$32</definedName>
    <definedName name="OF_BUDGET" localSheetId="17">#REF!</definedName>
    <definedName name="OF_BUDGET">#REF!</definedName>
    <definedName name="Org_Unit">#REF!</definedName>
    <definedName name="otherfin">[1]Options!$J$16</definedName>
    <definedName name="OVERRIDE_DN" localSheetId="13">#REF!</definedName>
    <definedName name="OVERRIDE_DN" localSheetId="15">#REF!</definedName>
    <definedName name="OVERRIDE_DN" localSheetId="7">#REF!</definedName>
    <definedName name="OVERRIDE_DN" localSheetId="17">#REF!</definedName>
    <definedName name="OVERRIDE_DN">COVER_PAGE!$P$17</definedName>
    <definedName name="OVERRIDE_TYPE" localSheetId="13">#REF!</definedName>
    <definedName name="OVERRIDE_TYPE" localSheetId="15">#REF!</definedName>
    <definedName name="OVERRIDE_TYPE" localSheetId="7">#REF!</definedName>
    <definedName name="OVERRIDE_TYPE" localSheetId="17">#REF!</definedName>
    <definedName name="OVERRIDE_TYPE">COVER_PAGE!$P$18</definedName>
    <definedName name="Park" localSheetId="17">#REF!</definedName>
    <definedName name="Park">#REF!</definedName>
    <definedName name="PERCENT_BUDGET" localSheetId="17">#REF!</definedName>
    <definedName name="PERCENT_BUDGET">#REF!</definedName>
    <definedName name="_xlnm.Print_Area" localSheetId="8">'001'!$R$25:$AS$304</definedName>
    <definedName name="_xlnm.Print_Area" localSheetId="9">'201'!$A$1:$AP$130</definedName>
    <definedName name="_xlnm.Print_Area" localSheetId="11">'202'!$A$1:$AP$127</definedName>
    <definedName name="_xlnm.Print_Area" localSheetId="12">'203'!$R$25:$AS$160</definedName>
    <definedName name="_xlnm.Print_Area" localSheetId="14">'204'!$R$25:$AS$166</definedName>
    <definedName name="_xlnm.Print_Area" localSheetId="13">'Amort 2014'!$B$5:$H$47</definedName>
    <definedName name="_xlnm.Print_Area" localSheetId="15">'Amort 2015'!$B$5:$H$55</definedName>
    <definedName name="_xlnm.Print_Area" localSheetId="7">'Assess_Detail '!$A$3:$R$53</definedName>
    <definedName name="_xlnm.Print_Area" localSheetId="36">'Assess_Rates-R1U1'!$C$3:$S$54</definedName>
    <definedName name="_xlnm.Print_Area" localSheetId="17">'Assess_Rates-Rev1'!$C$3:$T$57</definedName>
    <definedName name="_xlnm.Print_Area" localSheetId="18">Balance_Sheet!$I$15:$AC$181</definedName>
    <definedName name="_xlnm.Print_Area" localSheetId="19">Calc_wksht!$B$8:$I$49</definedName>
    <definedName name="_xlnm.Print_Area" localSheetId="2">COVER_PAGE!$B$4:$L$42</definedName>
    <definedName name="_xlnm.Print_Area" localSheetId="10">'Exhibit A'!$B$9:$H$62</definedName>
    <definedName name="_xlnm.Print_Area" localSheetId="16">'Exhibit B'!$B$9:$H$47</definedName>
    <definedName name="_xlnm.Print_Area" localSheetId="0">Modification!$B$2:$F$45</definedName>
    <definedName name="_xlnm.Print_Area" localSheetId="1">Overview!$B$2:$G$40</definedName>
    <definedName name="_xlnm.Print_Area" localSheetId="6">TABS!$B$3:$J$73</definedName>
    <definedName name="_xlnm.Print_Area" localSheetId="5">TOC!$B$2:$I$22</definedName>
    <definedName name="_xlnm.Print_Titles" localSheetId="8">'001'!$25:$34</definedName>
    <definedName name="_xlnm.Print_Titles" localSheetId="9">'201'!$25:$34</definedName>
    <definedName name="_xlnm.Print_Titles" localSheetId="11">'202'!$25:$34</definedName>
    <definedName name="_xlnm.Print_Titles" localSheetId="12">'203'!$25:$34</definedName>
    <definedName name="_xlnm.Print_Titles" localSheetId="14">'204'!$25:$34</definedName>
    <definedName name="_xlnm.Print_Titles" localSheetId="13">'Amort 2014'!$1:$16</definedName>
    <definedName name="_xlnm.Print_Titles" localSheetId="15">'Amort 2015'!$1:$11</definedName>
    <definedName name="_xlnm.Print_Titles" localSheetId="7">'Assess_Detail '!$7:$11</definedName>
    <definedName name="_xlnm.Print_Titles" localSheetId="17">'Assess_Rates-Rev1'!$3:$8</definedName>
    <definedName name="_xlnm.Print_Titles" localSheetId="18">(Balance_Sheet!$I:$J,Balance_Sheet!$10:$16)</definedName>
    <definedName name="Projected" localSheetId="13">[12]Options!$J$9</definedName>
    <definedName name="Projected" localSheetId="15">[12]Options!$J$9</definedName>
    <definedName name="Projected">[1]Options!$J$12</definedName>
    <definedName name="Projected_Date" localSheetId="13">[12]Options!$E$9</definedName>
    <definedName name="Projected_Date" localSheetId="15">[12]Options!$E$9</definedName>
    <definedName name="Projected_Date">[1]Options!$E$9</definedName>
    <definedName name="Proposed_Budget" localSheetId="13">[12]Options!$J$11</definedName>
    <definedName name="Proposed_Budget" localSheetId="15">[12]Options!$J$11</definedName>
    <definedName name="Proposed_Budget">[1]Options!$J$14</definedName>
    <definedName name="PRORATE_BUDGET" localSheetId="17">#REF!</definedName>
    <definedName name="PRORATE_BUDGET">#REF!</definedName>
    <definedName name="PRORATED_BUDGET" localSheetId="15">#REF!</definedName>
    <definedName name="PRORATED_BUDGET" localSheetId="17">#REF!</definedName>
    <definedName name="PRORATED_BUDGET" localSheetId="0">#REF!</definedName>
    <definedName name="PRORATED_BUDGET" localSheetId="1">#REF!</definedName>
    <definedName name="PRORATED_BUDGET">#REF!</definedName>
    <definedName name="PRORATEDBUDGET" localSheetId="17">#REF!</definedName>
    <definedName name="PRORATEDBUDGET">#REF!</definedName>
    <definedName name="PY_actuals">Options!$D$7</definedName>
    <definedName name="PY_budgets">Options!$D$8</definedName>
    <definedName name="Revenue" localSheetId="17">#REF!</definedName>
    <definedName name="Revenue">#REF!</definedName>
    <definedName name="Show_acct">Options!$D$12</definedName>
    <definedName name="Show_total_wo">Options!$D$13</definedName>
    <definedName name="SRF_filter" localSheetId="17">#REF!</definedName>
    <definedName name="SRF_filter">#REF!</definedName>
    <definedName name="startdate" localSheetId="15">#REF!</definedName>
    <definedName name="startdate" localSheetId="17">#REF!</definedName>
    <definedName name="startdate" localSheetId="0">#REF!</definedName>
    <definedName name="startdate" localSheetId="1">#REF!</definedName>
    <definedName name="startdate">#REF!</definedName>
    <definedName name="Sub_Account" localSheetId="15">[10]Options!#REF!</definedName>
    <definedName name="Sub_Account" localSheetId="17">[10]Options!#REF!</definedName>
    <definedName name="Sub_Account" localSheetId="0">[10]Options!#REF!</definedName>
    <definedName name="Sub_Account" localSheetId="1">[10]Options!#REF!</definedName>
    <definedName name="Sub_Account">[10]Options!#REF!</definedName>
    <definedName name="Sub_Account_no">#REF!</definedName>
    <definedName name="Subaccount">Options!$D$15</definedName>
    <definedName name="SubAcctName">Remove_Empty!$F$42</definedName>
    <definedName name="Subtotal_Rev">Options!$D$18</definedName>
    <definedName name="TITLE" localSheetId="13">[12]Options!$C$5</definedName>
    <definedName name="TITLE" localSheetId="15">[12]Options!$C$5</definedName>
    <definedName name="TITLE">[11]Options!$C$5</definedName>
    <definedName name="Total_Projected" localSheetId="13">[12]Options!$J$10</definedName>
    <definedName name="Total_Projected" localSheetId="15">[12]Options!$J$10</definedName>
    <definedName name="Total_Projected">[1]Options!$J$13</definedName>
    <definedName name="Tran_type">#REF!</definedName>
    <definedName name="Use_Current_Adopted_Budget">[1]Options!$J$17</definedName>
    <definedName name="VAR3_SEC1" localSheetId="15">[7]Options!#REF!</definedName>
    <definedName name="VAR3_SEC1" localSheetId="17">[7]Options!#REF!</definedName>
    <definedName name="VAR3_SEC1" localSheetId="0">[7]Options!#REF!</definedName>
    <definedName name="VAR3_SEC1" localSheetId="1">[7]Options!#REF!</definedName>
    <definedName name="VAR3_SEC1">[7]Options!#REF!</definedName>
    <definedName name="VAR3_SEC2" localSheetId="15">[7]Options!#REF!</definedName>
    <definedName name="VAR3_SEC2" localSheetId="17">[7]Options!#REF!</definedName>
    <definedName name="VAR3_SEC2" localSheetId="0">[7]Options!#REF!</definedName>
    <definedName name="VAR3_SEC2" localSheetId="1">[7]Options!#REF!</definedName>
    <definedName name="VAR3_SEC2">[7]Options!#REF!</definedName>
    <definedName name="VARIANCE" localSheetId="17">#REF!</definedName>
    <definedName name="VARIANCE">#REF!</definedName>
    <definedName name="Vendor_Number" localSheetId="15">[10]Options!#REF!</definedName>
    <definedName name="Vendor_Number" localSheetId="17">[10]Options!#REF!</definedName>
    <definedName name="Vendor_Number" localSheetId="0">[10]Options!#REF!</definedName>
    <definedName name="Vendor_Number" localSheetId="1">[10]Options!#REF!</definedName>
    <definedName name="Vendor_Number">[10]Options!#REF!</definedName>
    <definedName name="Village" localSheetId="13">#REF!</definedName>
    <definedName name="Village" localSheetId="15">#REF!</definedName>
    <definedName name="Village" localSheetId="17">#REF!</definedName>
    <definedName name="Village">#REF!</definedName>
    <definedName name="villages" localSheetId="17">#REF!</definedName>
    <definedName name="villages">#REF!</definedName>
    <definedName name="Wrencrest" localSheetId="13">#REF!</definedName>
    <definedName name="Wrencrest" localSheetId="15">#REF!</definedName>
    <definedName name="Wrencrest" localSheetId="17">#REF!</definedName>
    <definedName name="Wrencrest">#REF!</definedName>
    <definedName name="Year_End_Close">#REF!</definedName>
    <definedName name="Year_End_Date" localSheetId="17">#REF!</definedName>
    <definedName name="Year_End_Date">#REF!</definedName>
    <definedName name="YES">"Detail"</definedName>
    <definedName name="YTD___ACTUAL" localSheetId="15">[7]Options!#REF!</definedName>
    <definedName name="YTD___ACTUAL" localSheetId="17">[7]Options!#REF!</definedName>
    <definedName name="YTD___ACTUAL" localSheetId="0">[7]Options!#REF!</definedName>
    <definedName name="YTD___ACTUAL" localSheetId="1">[7]Options!#REF!</definedName>
    <definedName name="YTD___ACTUAL">[7]Options!#REF!</definedName>
    <definedName name="YTD_ACTUAL" localSheetId="17">#REF!</definedName>
    <definedName name="YTD_ACTUAL">#REF!</definedName>
    <definedName name="YTD_ACTUAL_AS_BUDGET" localSheetId="15">[7]Options!#REF!</definedName>
    <definedName name="YTD_ACTUAL_AS_BUDGET" localSheetId="17">[7]Options!#REF!</definedName>
    <definedName name="YTD_ACTUAL_AS_BUDGET" localSheetId="0">[7]Options!#REF!</definedName>
    <definedName name="YTD_ACTUAL_AS_BUDGET" localSheetId="1">[7]Options!#REF!</definedName>
    <definedName name="YTD_ACTUAL_AS_BUDGET">[7]Options!#REF!</definedName>
  </definedNames>
  <calcPr calcId="125725" fullCalcOnLoad="1" iterate="1"/>
</workbook>
</file>

<file path=xl/calcChain.xml><?xml version="1.0" encoding="utf-8"?>
<calcChain xmlns="http://schemas.openxmlformats.org/spreadsheetml/2006/main">
  <c r="P1" i="9"/>
  <c r="Q1" s="1"/>
  <c r="V1"/>
  <c r="W1" s="1"/>
  <c r="X1"/>
  <c r="Y1" s="1"/>
  <c r="Z1"/>
  <c r="AA1" s="1"/>
  <c r="AB1"/>
  <c r="AC1" s="1"/>
  <c r="AD1"/>
  <c r="AE1" s="1"/>
  <c r="AF1"/>
  <c r="AG1" s="1"/>
  <c r="AH1"/>
  <c r="AI1" s="1"/>
  <c r="AJ1"/>
  <c r="AM1"/>
  <c r="H4"/>
  <c r="I4"/>
  <c r="AP5" s="1"/>
  <c r="F5"/>
  <c r="AH2" s="1"/>
  <c r="AJ2" s="1"/>
  <c r="H5"/>
  <c r="I5"/>
  <c r="AF2" s="1"/>
  <c r="AF8" s="1"/>
  <c r="AN5"/>
  <c r="G6"/>
  <c r="H6"/>
  <c r="J4" s="1"/>
  <c r="I6"/>
  <c r="AB2" s="1"/>
  <c r="H7"/>
  <c r="I7"/>
  <c r="Z2" s="1"/>
  <c r="H8"/>
  <c r="I8"/>
  <c r="X2" s="1"/>
  <c r="H9"/>
  <c r="I9"/>
  <c r="V2" s="1"/>
  <c r="H10"/>
  <c r="I10"/>
  <c r="V5" s="1"/>
  <c r="I11"/>
  <c r="AJ5" s="1"/>
  <c r="I15"/>
  <c r="I16"/>
  <c r="J16" s="1"/>
  <c r="I17"/>
  <c r="J17" s="1"/>
  <c r="I18"/>
  <c r="J18" s="1"/>
  <c r="J19" s="1"/>
  <c r="I19"/>
  <c r="F22"/>
  <c r="L38" s="1"/>
  <c r="H22"/>
  <c r="R25"/>
  <c r="R26"/>
  <c r="R27"/>
  <c r="B29"/>
  <c r="B30"/>
  <c r="AF33"/>
  <c r="AN33"/>
  <c r="AP33"/>
  <c r="E38"/>
  <c r="M38"/>
  <c r="N38"/>
  <c r="O38"/>
  <c r="P38"/>
  <c r="AJ38"/>
  <c r="AL38" s="1"/>
  <c r="L39"/>
  <c r="M39"/>
  <c r="N39"/>
  <c r="O39"/>
  <c r="P39"/>
  <c r="AL39"/>
  <c r="AQ39"/>
  <c r="B39" s="1"/>
  <c r="K40"/>
  <c r="P40" s="1"/>
  <c r="M40"/>
  <c r="N40"/>
  <c r="O40"/>
  <c r="AJ40"/>
  <c r="AL40" s="1"/>
  <c r="AP40"/>
  <c r="K41"/>
  <c r="L41"/>
  <c r="M41"/>
  <c r="N41"/>
  <c r="O41"/>
  <c r="P41"/>
  <c r="AL41"/>
  <c r="AQ41"/>
  <c r="B41" s="1"/>
  <c r="K42"/>
  <c r="P42" s="1"/>
  <c r="L42"/>
  <c r="M42"/>
  <c r="N42"/>
  <c r="O42"/>
  <c r="AJ42"/>
  <c r="AL42" s="1"/>
  <c r="K43"/>
  <c r="L43"/>
  <c r="M43"/>
  <c r="N43"/>
  <c r="O43"/>
  <c r="P43"/>
  <c r="AJ43"/>
  <c r="AL43"/>
  <c r="AP43"/>
  <c r="AQ43"/>
  <c r="B43" s="1"/>
  <c r="K44"/>
  <c r="P44" s="1"/>
  <c r="L44"/>
  <c r="M44"/>
  <c r="N44"/>
  <c r="O44"/>
  <c r="AJ44"/>
  <c r="AL44" s="1"/>
  <c r="K45"/>
  <c r="L45"/>
  <c r="M45"/>
  <c r="N45"/>
  <c r="O45"/>
  <c r="P45"/>
  <c r="AJ45"/>
  <c r="AL45"/>
  <c r="AP45"/>
  <c r="AQ45"/>
  <c r="B45" s="1"/>
  <c r="K46"/>
  <c r="P46" s="1"/>
  <c r="L46"/>
  <c r="M46"/>
  <c r="N46"/>
  <c r="O46"/>
  <c r="AF46"/>
  <c r="AL46"/>
  <c r="K47"/>
  <c r="L47"/>
  <c r="M47"/>
  <c r="N47"/>
  <c r="O47"/>
  <c r="P47"/>
  <c r="AL47"/>
  <c r="AQ47"/>
  <c r="B47" s="1"/>
  <c r="K48"/>
  <c r="P48" s="1"/>
  <c r="L48"/>
  <c r="M48"/>
  <c r="N48"/>
  <c r="O48"/>
  <c r="AJ48"/>
  <c r="AL48" s="1"/>
  <c r="AP48"/>
  <c r="K49"/>
  <c r="L49"/>
  <c r="M49"/>
  <c r="N49"/>
  <c r="O49"/>
  <c r="P49"/>
  <c r="AL49"/>
  <c r="AQ49"/>
  <c r="B49" s="1"/>
  <c r="K50"/>
  <c r="P50" s="1"/>
  <c r="L50"/>
  <c r="M50"/>
  <c r="N50"/>
  <c r="O50"/>
  <c r="AL50"/>
  <c r="AQ50" s="1"/>
  <c r="B50" s="1"/>
  <c r="K51"/>
  <c r="L51"/>
  <c r="M51"/>
  <c r="N51"/>
  <c r="O51"/>
  <c r="P51"/>
  <c r="AJ51"/>
  <c r="AL51"/>
  <c r="AP51"/>
  <c r="AQ51"/>
  <c r="B51" s="1"/>
  <c r="K52"/>
  <c r="P52" s="1"/>
  <c r="L52"/>
  <c r="M52"/>
  <c r="N52"/>
  <c r="O52"/>
  <c r="AJ52"/>
  <c r="AL52" s="1"/>
  <c r="AQ52" s="1"/>
  <c r="B52" s="1"/>
  <c r="K53"/>
  <c r="P53" s="1"/>
  <c r="L53"/>
  <c r="M53"/>
  <c r="N53"/>
  <c r="O53"/>
  <c r="AJ53"/>
  <c r="AL53" s="1"/>
  <c r="AQ53" s="1"/>
  <c r="B53" s="1"/>
  <c r="K54"/>
  <c r="P54" s="1"/>
  <c r="L54"/>
  <c r="M54"/>
  <c r="N54"/>
  <c r="O54"/>
  <c r="AL54"/>
  <c r="AQ54" s="1"/>
  <c r="B54" s="1"/>
  <c r="E56"/>
  <c r="I58"/>
  <c r="I59"/>
  <c r="I60" s="1"/>
  <c r="I61" s="1"/>
  <c r="I62" s="1"/>
  <c r="L59"/>
  <c r="M59"/>
  <c r="N59"/>
  <c r="O59"/>
  <c r="P59"/>
  <c r="AJ59"/>
  <c r="AL59" s="1"/>
  <c r="AP59"/>
  <c r="AP61" s="1"/>
  <c r="T61"/>
  <c r="V61"/>
  <c r="X61"/>
  <c r="Z61"/>
  <c r="AB61"/>
  <c r="AD61"/>
  <c r="AF61"/>
  <c r="AH61"/>
  <c r="AJ61"/>
  <c r="AN61"/>
  <c r="AU61"/>
  <c r="AV61"/>
  <c r="V64" s="1"/>
  <c r="AW61"/>
  <c r="AX61"/>
  <c r="Z64" s="1"/>
  <c r="AY61"/>
  <c r="AZ61"/>
  <c r="AD64" s="1"/>
  <c r="BA61"/>
  <c r="BB61"/>
  <c r="AH64" s="1"/>
  <c r="BE61"/>
  <c r="BF61"/>
  <c r="R64"/>
  <c r="T64"/>
  <c r="X64"/>
  <c r="AB64"/>
  <c r="AF64"/>
  <c r="AN64"/>
  <c r="E66"/>
  <c r="L68"/>
  <c r="M68"/>
  <c r="N68"/>
  <c r="O68"/>
  <c r="P68"/>
  <c r="AL68"/>
  <c r="AP68"/>
  <c r="AQ68"/>
  <c r="B68" s="1"/>
  <c r="R70"/>
  <c r="T70"/>
  <c r="V70"/>
  <c r="AQ70" s="1"/>
  <c r="X70"/>
  <c r="Z70"/>
  <c r="AB70"/>
  <c r="AD70"/>
  <c r="AF70"/>
  <c r="AH70"/>
  <c r="AJ70"/>
  <c r="AL70"/>
  <c r="AN70"/>
  <c r="AP70"/>
  <c r="R72"/>
  <c r="T72"/>
  <c r="V72"/>
  <c r="AQ72" s="1"/>
  <c r="X72"/>
  <c r="Z72"/>
  <c r="AB72"/>
  <c r="AD72"/>
  <c r="AF72"/>
  <c r="AH72"/>
  <c r="AJ72"/>
  <c r="AL72"/>
  <c r="AN72"/>
  <c r="AP72"/>
  <c r="R74"/>
  <c r="R76"/>
  <c r="E77"/>
  <c r="L78"/>
  <c r="M78"/>
  <c r="N78"/>
  <c r="O78"/>
  <c r="P78"/>
  <c r="AJ78"/>
  <c r="AL78"/>
  <c r="AP78"/>
  <c r="AQ78"/>
  <c r="B78" s="1"/>
  <c r="K79"/>
  <c r="P79" s="1"/>
  <c r="L79"/>
  <c r="M79"/>
  <c r="N79"/>
  <c r="O79"/>
  <c r="AJ79"/>
  <c r="AL79" s="1"/>
  <c r="AP79"/>
  <c r="K80"/>
  <c r="L80"/>
  <c r="M80"/>
  <c r="N80"/>
  <c r="O80"/>
  <c r="P80"/>
  <c r="AJ80"/>
  <c r="AL80"/>
  <c r="AP80"/>
  <c r="AQ80"/>
  <c r="B80" s="1"/>
  <c r="K81"/>
  <c r="P81" s="1"/>
  <c r="L81"/>
  <c r="M81"/>
  <c r="N81"/>
  <c r="O81"/>
  <c r="AJ81"/>
  <c r="AL81" s="1"/>
  <c r="AQ81" s="1"/>
  <c r="B81" s="1"/>
  <c r="K82"/>
  <c r="P82" s="1"/>
  <c r="L82"/>
  <c r="M82"/>
  <c r="N82"/>
  <c r="O82"/>
  <c r="AJ82"/>
  <c r="AL82" s="1"/>
  <c r="AQ82" s="1"/>
  <c r="B82" s="1"/>
  <c r="K83"/>
  <c r="P83" s="1"/>
  <c r="L83"/>
  <c r="M83"/>
  <c r="N83"/>
  <c r="O83"/>
  <c r="AJ83"/>
  <c r="AL83" s="1"/>
  <c r="AQ83" s="1"/>
  <c r="B83" s="1"/>
  <c r="K84"/>
  <c r="P84" s="1"/>
  <c r="L84"/>
  <c r="M84"/>
  <c r="N84"/>
  <c r="O84"/>
  <c r="AJ84"/>
  <c r="AL84" s="1"/>
  <c r="AQ84" s="1"/>
  <c r="B84" s="1"/>
  <c r="K85"/>
  <c r="P85" s="1"/>
  <c r="L85"/>
  <c r="M85"/>
  <c r="N85"/>
  <c r="O85"/>
  <c r="AL85"/>
  <c r="AQ85" s="1"/>
  <c r="B85" s="1"/>
  <c r="K86"/>
  <c r="L86"/>
  <c r="M86"/>
  <c r="N86"/>
  <c r="O86"/>
  <c r="P86"/>
  <c r="AJ86"/>
  <c r="AL86"/>
  <c r="AQ86" s="1"/>
  <c r="B86" s="1"/>
  <c r="K87"/>
  <c r="L87"/>
  <c r="M87"/>
  <c r="N87"/>
  <c r="O87"/>
  <c r="P87"/>
  <c r="AL87"/>
  <c r="AP87"/>
  <c r="AQ87" s="1"/>
  <c r="B87" s="1"/>
  <c r="K88"/>
  <c r="L88"/>
  <c r="M88"/>
  <c r="N88"/>
  <c r="O88"/>
  <c r="P88"/>
  <c r="AJ88"/>
  <c r="AL88"/>
  <c r="AQ88" s="1"/>
  <c r="B88" s="1"/>
  <c r="K89"/>
  <c r="L89"/>
  <c r="M89"/>
  <c r="N89"/>
  <c r="O89"/>
  <c r="P89"/>
  <c r="AL89"/>
  <c r="AP89"/>
  <c r="AQ89" s="1"/>
  <c r="B89" s="1"/>
  <c r="K90"/>
  <c r="L90"/>
  <c r="M90"/>
  <c r="N90"/>
  <c r="O90"/>
  <c r="P90"/>
  <c r="AJ90"/>
  <c r="AL90"/>
  <c r="AQ90" s="1"/>
  <c r="B90" s="1"/>
  <c r="K91"/>
  <c r="L91"/>
  <c r="M91"/>
  <c r="N91"/>
  <c r="O91"/>
  <c r="P91"/>
  <c r="AL91"/>
  <c r="AQ91"/>
  <c r="B91" s="1"/>
  <c r="K92"/>
  <c r="P92" s="1"/>
  <c r="L92"/>
  <c r="M92"/>
  <c r="N92"/>
  <c r="O92"/>
  <c r="AL92"/>
  <c r="AP92" s="1"/>
  <c r="AQ92" s="1"/>
  <c r="B92" s="1"/>
  <c r="K93"/>
  <c r="P93" s="1"/>
  <c r="L93"/>
  <c r="M93"/>
  <c r="N93"/>
  <c r="O93"/>
  <c r="AJ93"/>
  <c r="AL93" s="1"/>
  <c r="AQ93" s="1"/>
  <c r="B93" s="1"/>
  <c r="K94"/>
  <c r="P94" s="1"/>
  <c r="L94"/>
  <c r="M94"/>
  <c r="N94"/>
  <c r="O94"/>
  <c r="AJ94"/>
  <c r="AL94" s="1"/>
  <c r="AQ94" s="1"/>
  <c r="B94" s="1"/>
  <c r="K95"/>
  <c r="P95" s="1"/>
  <c r="L95"/>
  <c r="M95"/>
  <c r="N95"/>
  <c r="O95"/>
  <c r="AL95"/>
  <c r="AP95"/>
  <c r="AQ95"/>
  <c r="B95" s="1"/>
  <c r="K96"/>
  <c r="P96" s="1"/>
  <c r="L96"/>
  <c r="M96"/>
  <c r="N96"/>
  <c r="O96"/>
  <c r="AJ96"/>
  <c r="AL96" s="1"/>
  <c r="AQ96" s="1"/>
  <c r="B96" s="1"/>
  <c r="K97"/>
  <c r="P97" s="1"/>
  <c r="L97"/>
  <c r="M97"/>
  <c r="N97"/>
  <c r="O97"/>
  <c r="AF97"/>
  <c r="AJ97"/>
  <c r="AL97"/>
  <c r="K98"/>
  <c r="P98" s="1"/>
  <c r="L98"/>
  <c r="M98"/>
  <c r="N98"/>
  <c r="O98"/>
  <c r="AJ98"/>
  <c r="AL98" s="1"/>
  <c r="AQ98" s="1"/>
  <c r="B98" s="1"/>
  <c r="K99"/>
  <c r="P99" s="1"/>
  <c r="L99"/>
  <c r="M99"/>
  <c r="N99"/>
  <c r="O99"/>
  <c r="AJ99"/>
  <c r="AL99" s="1"/>
  <c r="AQ99" s="1"/>
  <c r="B99" s="1"/>
  <c r="K100"/>
  <c r="P100" s="1"/>
  <c r="L100"/>
  <c r="M100"/>
  <c r="N100"/>
  <c r="O100"/>
  <c r="AJ100"/>
  <c r="AL100" s="1"/>
  <c r="AQ100" s="1"/>
  <c r="B100" s="1"/>
  <c r="K101"/>
  <c r="P101" s="1"/>
  <c r="L101"/>
  <c r="M101"/>
  <c r="N101"/>
  <c r="O101"/>
  <c r="AL101"/>
  <c r="AP101"/>
  <c r="AQ101"/>
  <c r="B101" s="1"/>
  <c r="R103"/>
  <c r="T103"/>
  <c r="V103"/>
  <c r="X103"/>
  <c r="Z103"/>
  <c r="AB103"/>
  <c r="AD103"/>
  <c r="AF103"/>
  <c r="AH103"/>
  <c r="AJ103"/>
  <c r="AN103"/>
  <c r="E105"/>
  <c r="I108"/>
  <c r="I109"/>
  <c r="I110" s="1"/>
  <c r="I111" s="1"/>
  <c r="I112" s="1"/>
  <c r="L109"/>
  <c r="M109"/>
  <c r="N109"/>
  <c r="O109"/>
  <c r="P109"/>
  <c r="AL109"/>
  <c r="BD111" s="1"/>
  <c r="AP109"/>
  <c r="AQ109"/>
  <c r="B109" s="1"/>
  <c r="R111"/>
  <c r="T111"/>
  <c r="V111"/>
  <c r="AQ111" s="1"/>
  <c r="X111"/>
  <c r="Z111"/>
  <c r="AB111"/>
  <c r="AD111"/>
  <c r="AF111"/>
  <c r="AH111"/>
  <c r="AJ111"/>
  <c r="AL111"/>
  <c r="AN111"/>
  <c r="AP111"/>
  <c r="AU111"/>
  <c r="AV111"/>
  <c r="AW111"/>
  <c r="AX111"/>
  <c r="AY111"/>
  <c r="AZ111"/>
  <c r="BA111"/>
  <c r="BB111"/>
  <c r="BC111"/>
  <c r="BE111"/>
  <c r="BF111"/>
  <c r="I113"/>
  <c r="I114"/>
  <c r="I115"/>
  <c r="L115"/>
  <c r="M115"/>
  <c r="N115"/>
  <c r="O115"/>
  <c r="P115"/>
  <c r="AL115"/>
  <c r="AP115"/>
  <c r="AQ115"/>
  <c r="B115" s="1"/>
  <c r="I116"/>
  <c r="O116" s="1"/>
  <c r="K116"/>
  <c r="L116"/>
  <c r="M116"/>
  <c r="N116"/>
  <c r="P116"/>
  <c r="AL116"/>
  <c r="AP116"/>
  <c r="K117"/>
  <c r="P117" s="1"/>
  <c r="L117"/>
  <c r="M117"/>
  <c r="N117"/>
  <c r="AL117"/>
  <c r="BD129" s="1"/>
  <c r="AP117"/>
  <c r="AQ117"/>
  <c r="B117" s="1"/>
  <c r="K118"/>
  <c r="L118"/>
  <c r="M118"/>
  <c r="N118"/>
  <c r="P118"/>
  <c r="AJ118"/>
  <c r="AL118"/>
  <c r="AQ118" s="1"/>
  <c r="B118" s="1"/>
  <c r="K119"/>
  <c r="P119" s="1"/>
  <c r="L119"/>
  <c r="M119"/>
  <c r="N119"/>
  <c r="AL119"/>
  <c r="AP119"/>
  <c r="AQ119"/>
  <c r="B119" s="1"/>
  <c r="K120"/>
  <c r="L120"/>
  <c r="M120"/>
  <c r="N120"/>
  <c r="P120"/>
  <c r="AL120"/>
  <c r="AP120"/>
  <c r="AQ120" s="1"/>
  <c r="B120" s="1"/>
  <c r="K121"/>
  <c r="P121" s="1"/>
  <c r="L121"/>
  <c r="M121"/>
  <c r="N121"/>
  <c r="AL121"/>
  <c r="AP121"/>
  <c r="AQ121"/>
  <c r="B121" s="1"/>
  <c r="K122"/>
  <c r="L122"/>
  <c r="M122"/>
  <c r="N122"/>
  <c r="P122"/>
  <c r="AL122"/>
  <c r="AP122"/>
  <c r="AQ122" s="1"/>
  <c r="B122" s="1"/>
  <c r="K123"/>
  <c r="P123" s="1"/>
  <c r="L123"/>
  <c r="M123"/>
  <c r="N123"/>
  <c r="AL123"/>
  <c r="AP123"/>
  <c r="AQ123"/>
  <c r="B123" s="1"/>
  <c r="K124"/>
  <c r="L124"/>
  <c r="M124"/>
  <c r="N124"/>
  <c r="P124"/>
  <c r="AL124"/>
  <c r="AP124"/>
  <c r="AQ124" s="1"/>
  <c r="B124" s="1"/>
  <c r="K125"/>
  <c r="P125" s="1"/>
  <c r="L125"/>
  <c r="M125"/>
  <c r="N125"/>
  <c r="AL125"/>
  <c r="AP125"/>
  <c r="AQ125"/>
  <c r="B125" s="1"/>
  <c r="K126"/>
  <c r="L126"/>
  <c r="M126"/>
  <c r="N126"/>
  <c r="P126"/>
  <c r="AL126"/>
  <c r="AP126"/>
  <c r="AQ126" s="1"/>
  <c r="B126" s="1"/>
  <c r="K127"/>
  <c r="P127" s="1"/>
  <c r="L127"/>
  <c r="M127"/>
  <c r="N127"/>
  <c r="AL127"/>
  <c r="AQ127" s="1"/>
  <c r="B127" s="1"/>
  <c r="I128"/>
  <c r="I129" s="1"/>
  <c r="I130" s="1"/>
  <c r="R129"/>
  <c r="T129"/>
  <c r="V129"/>
  <c r="X129"/>
  <c r="Z129"/>
  <c r="AB129"/>
  <c r="AD129"/>
  <c r="AF129"/>
  <c r="AH129"/>
  <c r="AJ129"/>
  <c r="AN129"/>
  <c r="AU129"/>
  <c r="AV129"/>
  <c r="AW129"/>
  <c r="AX129"/>
  <c r="AY129"/>
  <c r="AZ129"/>
  <c r="BA129"/>
  <c r="BB129"/>
  <c r="BC129"/>
  <c r="BE129"/>
  <c r="I131"/>
  <c r="I132"/>
  <c r="I133" s="1"/>
  <c r="L133"/>
  <c r="M133"/>
  <c r="N133"/>
  <c r="P133"/>
  <c r="AJ133"/>
  <c r="AP133"/>
  <c r="K134"/>
  <c r="P134" s="1"/>
  <c r="L134"/>
  <c r="M134"/>
  <c r="N134"/>
  <c r="AL134"/>
  <c r="AQ134" s="1"/>
  <c r="B134" s="1"/>
  <c r="K135"/>
  <c r="P135" s="1"/>
  <c r="L135"/>
  <c r="M135"/>
  <c r="N135"/>
  <c r="AJ135"/>
  <c r="AP135"/>
  <c r="K136"/>
  <c r="P136" s="1"/>
  <c r="L136"/>
  <c r="M136"/>
  <c r="N136"/>
  <c r="AJ136"/>
  <c r="AP136"/>
  <c r="K137"/>
  <c r="P137" s="1"/>
  <c r="L137"/>
  <c r="M137"/>
  <c r="N137"/>
  <c r="AJ137"/>
  <c r="AL137" s="1"/>
  <c r="K138"/>
  <c r="L138"/>
  <c r="M138"/>
  <c r="N138"/>
  <c r="P138"/>
  <c r="AL138"/>
  <c r="AQ138"/>
  <c r="B138" s="1"/>
  <c r="K139"/>
  <c r="L139"/>
  <c r="M139"/>
  <c r="N139"/>
  <c r="P139"/>
  <c r="AL139"/>
  <c r="AQ139"/>
  <c r="B139" s="1"/>
  <c r="K140"/>
  <c r="L140"/>
  <c r="M140"/>
  <c r="N140"/>
  <c r="P140"/>
  <c r="AL140"/>
  <c r="AQ140"/>
  <c r="B140" s="1"/>
  <c r="K141"/>
  <c r="L141"/>
  <c r="M141"/>
  <c r="N141"/>
  <c r="P141"/>
  <c r="AL141"/>
  <c r="AQ141"/>
  <c r="B141" s="1"/>
  <c r="K142"/>
  <c r="L142"/>
  <c r="M142"/>
  <c r="N142"/>
  <c r="P142"/>
  <c r="AL142"/>
  <c r="AQ142"/>
  <c r="B142" s="1"/>
  <c r="K143"/>
  <c r="L143"/>
  <c r="M143"/>
  <c r="N143"/>
  <c r="P143"/>
  <c r="AJ143"/>
  <c r="AL143"/>
  <c r="AQ143" s="1"/>
  <c r="B143" s="1"/>
  <c r="K144"/>
  <c r="P144" s="1"/>
  <c r="L144"/>
  <c r="M144"/>
  <c r="N144"/>
  <c r="AL144"/>
  <c r="AQ144" s="1"/>
  <c r="B144" s="1"/>
  <c r="K145"/>
  <c r="P145" s="1"/>
  <c r="L145"/>
  <c r="M145"/>
  <c r="N145"/>
  <c r="AL145"/>
  <c r="AQ145" s="1"/>
  <c r="B145" s="1"/>
  <c r="K146"/>
  <c r="P146" s="1"/>
  <c r="L146"/>
  <c r="M146"/>
  <c r="N146"/>
  <c r="AL146"/>
  <c r="AQ146" s="1"/>
  <c r="B146" s="1"/>
  <c r="K147"/>
  <c r="P147" s="1"/>
  <c r="L147"/>
  <c r="M147"/>
  <c r="N147"/>
  <c r="AL147"/>
  <c r="AQ147" s="1"/>
  <c r="B147" s="1"/>
  <c r="K148"/>
  <c r="P148" s="1"/>
  <c r="L148"/>
  <c r="M148"/>
  <c r="N148"/>
  <c r="AL148"/>
  <c r="AQ148" s="1"/>
  <c r="B148" s="1"/>
  <c r="K149"/>
  <c r="P149" s="1"/>
  <c r="L149"/>
  <c r="M149"/>
  <c r="N149"/>
  <c r="AL149"/>
  <c r="AQ149" s="1"/>
  <c r="B149" s="1"/>
  <c r="K150"/>
  <c r="P150" s="1"/>
  <c r="L150"/>
  <c r="M150"/>
  <c r="N150"/>
  <c r="AJ150"/>
  <c r="AL150" s="1"/>
  <c r="K151"/>
  <c r="L151"/>
  <c r="M151"/>
  <c r="N151"/>
  <c r="P151"/>
  <c r="AL151"/>
  <c r="AP151"/>
  <c r="AQ151" s="1"/>
  <c r="B151" s="1"/>
  <c r="K152"/>
  <c r="P152" s="1"/>
  <c r="L152"/>
  <c r="M152"/>
  <c r="N152"/>
  <c r="AL152"/>
  <c r="AP152"/>
  <c r="AQ152"/>
  <c r="B152" s="1"/>
  <c r="R154"/>
  <c r="T154"/>
  <c r="V154"/>
  <c r="X154"/>
  <c r="Z154"/>
  <c r="AB154"/>
  <c r="AD154"/>
  <c r="AF154"/>
  <c r="AH154"/>
  <c r="AN154"/>
  <c r="AP154"/>
  <c r="AU154"/>
  <c r="AV154"/>
  <c r="AW154"/>
  <c r="AX154"/>
  <c r="AY154"/>
  <c r="AZ154"/>
  <c r="BA154"/>
  <c r="BB154"/>
  <c r="BC154"/>
  <c r="BE154"/>
  <c r="BF154"/>
  <c r="I156"/>
  <c r="I157"/>
  <c r="I158"/>
  <c r="L158"/>
  <c r="M158"/>
  <c r="N158"/>
  <c r="O158"/>
  <c r="P158"/>
  <c r="AJ158"/>
  <c r="AL158"/>
  <c r="AQ158" s="1"/>
  <c r="B158" s="1"/>
  <c r="I159"/>
  <c r="K159"/>
  <c r="P159" s="1"/>
  <c r="L159"/>
  <c r="M159"/>
  <c r="N159"/>
  <c r="O159"/>
  <c r="AJ159"/>
  <c r="AL159" s="1"/>
  <c r="I160"/>
  <c r="O160" s="1"/>
  <c r="K160"/>
  <c r="L160"/>
  <c r="M160"/>
  <c r="N160"/>
  <c r="P160"/>
  <c r="AJ160"/>
  <c r="AL160"/>
  <c r="AQ160" s="1"/>
  <c r="B160" s="1"/>
  <c r="K161"/>
  <c r="P161" s="1"/>
  <c r="L161"/>
  <c r="M161"/>
  <c r="N161"/>
  <c r="AJ161"/>
  <c r="AL161" s="1"/>
  <c r="AP161"/>
  <c r="AP166" s="1"/>
  <c r="K162"/>
  <c r="P162" s="1"/>
  <c r="L162"/>
  <c r="M162"/>
  <c r="N162"/>
  <c r="AL162"/>
  <c r="AQ162" s="1"/>
  <c r="B162" s="1"/>
  <c r="K163"/>
  <c r="P163" s="1"/>
  <c r="L163"/>
  <c r="M163"/>
  <c r="N163"/>
  <c r="AL163"/>
  <c r="AQ163" s="1"/>
  <c r="B163" s="1"/>
  <c r="K164"/>
  <c r="P164" s="1"/>
  <c r="L164"/>
  <c r="M164"/>
  <c r="N164"/>
  <c r="AL164"/>
  <c r="AQ164" s="1"/>
  <c r="B164" s="1"/>
  <c r="I165"/>
  <c r="I166"/>
  <c r="R166"/>
  <c r="T166"/>
  <c r="V166"/>
  <c r="X166"/>
  <c r="Z166"/>
  <c r="AB166"/>
  <c r="AD166"/>
  <c r="AF166"/>
  <c r="AH166"/>
  <c r="AJ166"/>
  <c r="AN166"/>
  <c r="AU166"/>
  <c r="AV166"/>
  <c r="AW166"/>
  <c r="AX166"/>
  <c r="AY166"/>
  <c r="AZ166"/>
  <c r="BA166"/>
  <c r="BB166"/>
  <c r="BE166"/>
  <c r="BF166"/>
  <c r="I167"/>
  <c r="I168"/>
  <c r="I169"/>
  <c r="I170"/>
  <c r="L170"/>
  <c r="M170"/>
  <c r="N170"/>
  <c r="O170"/>
  <c r="P170"/>
  <c r="AL170"/>
  <c r="AP170"/>
  <c r="AQ170"/>
  <c r="B170" s="1"/>
  <c r="I171"/>
  <c r="O171" s="1"/>
  <c r="K171"/>
  <c r="L171"/>
  <c r="M171"/>
  <c r="N171"/>
  <c r="P171"/>
  <c r="AL171"/>
  <c r="AQ171"/>
  <c r="B171" s="1"/>
  <c r="I172"/>
  <c r="O172" s="1"/>
  <c r="K172"/>
  <c r="L172"/>
  <c r="M172"/>
  <c r="N172"/>
  <c r="P172"/>
  <c r="AL172"/>
  <c r="AQ172"/>
  <c r="B172" s="1"/>
  <c r="I173"/>
  <c r="O173" s="1"/>
  <c r="K173"/>
  <c r="L173"/>
  <c r="M173"/>
  <c r="N173"/>
  <c r="P173"/>
  <c r="AJ173"/>
  <c r="AL173"/>
  <c r="AP173"/>
  <c r="AQ173"/>
  <c r="B173" s="1"/>
  <c r="I174"/>
  <c r="O174" s="1"/>
  <c r="K174"/>
  <c r="L174"/>
  <c r="M174"/>
  <c r="N174"/>
  <c r="P174"/>
  <c r="AJ174"/>
  <c r="AL174"/>
  <c r="AP174"/>
  <c r="AQ174"/>
  <c r="B174" s="1"/>
  <c r="I175"/>
  <c r="O175" s="1"/>
  <c r="K175"/>
  <c r="L175"/>
  <c r="M175"/>
  <c r="N175"/>
  <c r="P175"/>
  <c r="AL175"/>
  <c r="AQ175"/>
  <c r="B175" s="1"/>
  <c r="I176"/>
  <c r="O176" s="1"/>
  <c r="K176"/>
  <c r="L176"/>
  <c r="M176"/>
  <c r="N176"/>
  <c r="P176"/>
  <c r="AL176"/>
  <c r="AQ176"/>
  <c r="B176" s="1"/>
  <c r="I177"/>
  <c r="O177" s="1"/>
  <c r="K177"/>
  <c r="L177"/>
  <c r="M177"/>
  <c r="N177"/>
  <c r="P177"/>
  <c r="AL177"/>
  <c r="AQ177"/>
  <c r="B177" s="1"/>
  <c r="I178"/>
  <c r="O178" s="1"/>
  <c r="K178"/>
  <c r="L178"/>
  <c r="M178"/>
  <c r="N178"/>
  <c r="P178"/>
  <c r="AL178"/>
  <c r="AQ178"/>
  <c r="B178" s="1"/>
  <c r="I179"/>
  <c r="O179" s="1"/>
  <c r="K179"/>
  <c r="L179"/>
  <c r="M179"/>
  <c r="N179"/>
  <c r="P179"/>
  <c r="AL179"/>
  <c r="AQ179"/>
  <c r="B179" s="1"/>
  <c r="I180"/>
  <c r="O180" s="1"/>
  <c r="K180"/>
  <c r="L180"/>
  <c r="M180"/>
  <c r="N180"/>
  <c r="P180"/>
  <c r="AL180"/>
  <c r="AQ180"/>
  <c r="B180" s="1"/>
  <c r="AL181"/>
  <c r="K182"/>
  <c r="P182" s="1"/>
  <c r="L182"/>
  <c r="M182"/>
  <c r="N182"/>
  <c r="AJ182"/>
  <c r="AL182" s="1"/>
  <c r="K183"/>
  <c r="L183"/>
  <c r="M183"/>
  <c r="N183"/>
  <c r="P183"/>
  <c r="AL183"/>
  <c r="AQ183"/>
  <c r="B183" s="1"/>
  <c r="K184"/>
  <c r="L184"/>
  <c r="M184"/>
  <c r="N184"/>
  <c r="P184"/>
  <c r="AJ184"/>
  <c r="AL184"/>
  <c r="AQ184" s="1"/>
  <c r="B184" s="1"/>
  <c r="K185"/>
  <c r="P185" s="1"/>
  <c r="L185"/>
  <c r="M185"/>
  <c r="N185"/>
  <c r="AJ185"/>
  <c r="AL185" s="1"/>
  <c r="AQ185" s="1"/>
  <c r="B185" s="1"/>
  <c r="K186"/>
  <c r="L186"/>
  <c r="M186"/>
  <c r="N186"/>
  <c r="P186"/>
  <c r="AL186"/>
  <c r="AQ186"/>
  <c r="B186" s="1"/>
  <c r="K187"/>
  <c r="L187"/>
  <c r="M187"/>
  <c r="N187"/>
  <c r="P187"/>
  <c r="AJ187"/>
  <c r="AL187"/>
  <c r="AQ187" s="1"/>
  <c r="B187" s="1"/>
  <c r="K188"/>
  <c r="P188" s="1"/>
  <c r="L188"/>
  <c r="M188"/>
  <c r="N188"/>
  <c r="AL188"/>
  <c r="AQ188" s="1"/>
  <c r="B188" s="1"/>
  <c r="K189"/>
  <c r="P189" s="1"/>
  <c r="L189"/>
  <c r="M189"/>
  <c r="N189"/>
  <c r="AJ189"/>
  <c r="AL189" s="1"/>
  <c r="AQ189" s="1"/>
  <c r="B189" s="1"/>
  <c r="K190"/>
  <c r="L190"/>
  <c r="M190"/>
  <c r="N190"/>
  <c r="P190"/>
  <c r="AL190"/>
  <c r="AQ190"/>
  <c r="B190" s="1"/>
  <c r="K191"/>
  <c r="L191"/>
  <c r="M191"/>
  <c r="N191"/>
  <c r="P191"/>
  <c r="AL191"/>
  <c r="AQ191"/>
  <c r="B191" s="1"/>
  <c r="K192"/>
  <c r="L192"/>
  <c r="M192"/>
  <c r="N192"/>
  <c r="P192"/>
  <c r="AJ192"/>
  <c r="AL192"/>
  <c r="AQ192" s="1"/>
  <c r="B192" s="1"/>
  <c r="K193"/>
  <c r="P193" s="1"/>
  <c r="L193"/>
  <c r="M193"/>
  <c r="N193"/>
  <c r="AL193"/>
  <c r="AQ193" s="1"/>
  <c r="B193" s="1"/>
  <c r="K194"/>
  <c r="P194" s="1"/>
  <c r="L194"/>
  <c r="M194"/>
  <c r="N194"/>
  <c r="AL194"/>
  <c r="AQ194" s="1"/>
  <c r="B194" s="1"/>
  <c r="K195"/>
  <c r="P195" s="1"/>
  <c r="L195"/>
  <c r="M195"/>
  <c r="N195"/>
  <c r="AL195"/>
  <c r="AQ195" s="1"/>
  <c r="B195" s="1"/>
  <c r="K196"/>
  <c r="P196" s="1"/>
  <c r="L196"/>
  <c r="M196"/>
  <c r="N196"/>
  <c r="AJ196"/>
  <c r="AL196" s="1"/>
  <c r="AQ196" s="1"/>
  <c r="B196" s="1"/>
  <c r="K197"/>
  <c r="L197"/>
  <c r="M197"/>
  <c r="N197"/>
  <c r="P197"/>
  <c r="AJ197"/>
  <c r="AL197"/>
  <c r="AQ197" s="1"/>
  <c r="B197" s="1"/>
  <c r="K198"/>
  <c r="P198" s="1"/>
  <c r="L198"/>
  <c r="M198"/>
  <c r="N198"/>
  <c r="AL198"/>
  <c r="AQ198" s="1"/>
  <c r="B198" s="1"/>
  <c r="K199"/>
  <c r="P199" s="1"/>
  <c r="L199"/>
  <c r="M199"/>
  <c r="N199"/>
  <c r="AL199"/>
  <c r="AQ199" s="1"/>
  <c r="B199" s="1"/>
  <c r="K200"/>
  <c r="P200" s="1"/>
  <c r="L200"/>
  <c r="M200"/>
  <c r="N200"/>
  <c r="AJ200"/>
  <c r="AL200" s="1"/>
  <c r="AQ200" s="1"/>
  <c r="B200" s="1"/>
  <c r="K201"/>
  <c r="L201"/>
  <c r="M201"/>
  <c r="N201"/>
  <c r="P201"/>
  <c r="AJ201"/>
  <c r="AL201"/>
  <c r="AQ201" s="1"/>
  <c r="B201" s="1"/>
  <c r="K202"/>
  <c r="P202" s="1"/>
  <c r="L202"/>
  <c r="M202"/>
  <c r="N202"/>
  <c r="AL202"/>
  <c r="AQ202" s="1"/>
  <c r="B202" s="1"/>
  <c r="K203"/>
  <c r="P203" s="1"/>
  <c r="L203"/>
  <c r="M203"/>
  <c r="N203"/>
  <c r="AL203"/>
  <c r="AQ203" s="1"/>
  <c r="B203" s="1"/>
  <c r="K204"/>
  <c r="P204" s="1"/>
  <c r="L204"/>
  <c r="M204"/>
  <c r="N204"/>
  <c r="AL204"/>
  <c r="AP204"/>
  <c r="AQ204"/>
  <c r="B204" s="1"/>
  <c r="I205"/>
  <c r="I206"/>
  <c r="R206"/>
  <c r="T206"/>
  <c r="V206"/>
  <c r="X206"/>
  <c r="Z206"/>
  <c r="AB206"/>
  <c r="AD206"/>
  <c r="AF206"/>
  <c r="AH206"/>
  <c r="AN206"/>
  <c r="AP206"/>
  <c r="AU206"/>
  <c r="AV206"/>
  <c r="AW206"/>
  <c r="AX206"/>
  <c r="AY206"/>
  <c r="AZ206"/>
  <c r="BA206"/>
  <c r="BB206"/>
  <c r="BC206"/>
  <c r="BE206"/>
  <c r="BF206"/>
  <c r="I207"/>
  <c r="I208"/>
  <c r="I209"/>
  <c r="I210"/>
  <c r="I211" s="1"/>
  <c r="I212" s="1"/>
  <c r="I213" s="1"/>
  <c r="L210"/>
  <c r="M210"/>
  <c r="N210"/>
  <c r="O210"/>
  <c r="P210"/>
  <c r="AL210"/>
  <c r="BD212" s="1"/>
  <c r="AP210"/>
  <c r="AQ210"/>
  <c r="B210" s="1"/>
  <c r="R212"/>
  <c r="T212"/>
  <c r="V212"/>
  <c r="AQ212" s="1"/>
  <c r="X212"/>
  <c r="Z212"/>
  <c r="AB212"/>
  <c r="AD212"/>
  <c r="AF212"/>
  <c r="AH212"/>
  <c r="AJ212"/>
  <c r="AL212"/>
  <c r="AN212"/>
  <c r="AP212"/>
  <c r="AU212"/>
  <c r="AV212"/>
  <c r="AW212"/>
  <c r="AX212"/>
  <c r="AY212"/>
  <c r="AZ212"/>
  <c r="BA212"/>
  <c r="BB212"/>
  <c r="BC212"/>
  <c r="BE212"/>
  <c r="BF212"/>
  <c r="I214"/>
  <c r="I215"/>
  <c r="I216"/>
  <c r="I217" s="1"/>
  <c r="I218" s="1"/>
  <c r="I219" s="1"/>
  <c r="L216"/>
  <c r="M216"/>
  <c r="N216"/>
  <c r="O216"/>
  <c r="P216"/>
  <c r="AL216"/>
  <c r="BD218" s="1"/>
  <c r="AP216"/>
  <c r="AQ216"/>
  <c r="B216" s="1"/>
  <c r="R218"/>
  <c r="T218"/>
  <c r="V218"/>
  <c r="AQ218" s="1"/>
  <c r="X218"/>
  <c r="Z218"/>
  <c r="AB218"/>
  <c r="AD218"/>
  <c r="AF218"/>
  <c r="AH218"/>
  <c r="AJ218"/>
  <c r="AL218"/>
  <c r="AN218"/>
  <c r="AP218"/>
  <c r="AU218"/>
  <c r="AV218"/>
  <c r="AW218"/>
  <c r="AX218"/>
  <c r="AY218"/>
  <c r="AZ218"/>
  <c r="BA218"/>
  <c r="BB218"/>
  <c r="BC218"/>
  <c r="BE218"/>
  <c r="BF218"/>
  <c r="I220"/>
  <c r="I221"/>
  <c r="I222"/>
  <c r="I223" s="1"/>
  <c r="I224" s="1"/>
  <c r="I225" s="1"/>
  <c r="L222"/>
  <c r="M222"/>
  <c r="N222"/>
  <c r="O222"/>
  <c r="P222"/>
  <c r="AL222"/>
  <c r="BD224" s="1"/>
  <c r="AP222"/>
  <c r="AQ222"/>
  <c r="B222" s="1"/>
  <c r="R224"/>
  <c r="T224"/>
  <c r="V224"/>
  <c r="AQ224" s="1"/>
  <c r="X224"/>
  <c r="Z224"/>
  <c r="AB224"/>
  <c r="AD224"/>
  <c r="AF224"/>
  <c r="AH224"/>
  <c r="AJ224"/>
  <c r="AL224"/>
  <c r="AN224"/>
  <c r="AP224"/>
  <c r="AU224"/>
  <c r="AV224"/>
  <c r="AW224"/>
  <c r="AX224"/>
  <c r="AY224"/>
  <c r="AZ224"/>
  <c r="BA224"/>
  <c r="BB224"/>
  <c r="BC224"/>
  <c r="BE224"/>
  <c r="BF224"/>
  <c r="T227"/>
  <c r="AD227"/>
  <c r="AF227"/>
  <c r="AH227"/>
  <c r="AN227"/>
  <c r="L230"/>
  <c r="M230"/>
  <c r="N230"/>
  <c r="O230"/>
  <c r="P230"/>
  <c r="AL230"/>
  <c r="AL232" s="1"/>
  <c r="AP230"/>
  <c r="AQ230"/>
  <c r="B230" s="1"/>
  <c r="T232"/>
  <c r="V232"/>
  <c r="X232"/>
  <c r="Z232"/>
  <c r="AB232"/>
  <c r="AD232"/>
  <c r="AF232"/>
  <c r="AH232"/>
  <c r="AJ232"/>
  <c r="AN232"/>
  <c r="AP232"/>
  <c r="AQ232"/>
  <c r="E233"/>
  <c r="L235"/>
  <c r="M235"/>
  <c r="N235"/>
  <c r="O235"/>
  <c r="P235"/>
  <c r="AL235"/>
  <c r="AL237" s="1"/>
  <c r="AP235"/>
  <c r="AQ235"/>
  <c r="B235" s="1"/>
  <c r="T237"/>
  <c r="V237"/>
  <c r="X237"/>
  <c r="Z237"/>
  <c r="AB237"/>
  <c r="AD237"/>
  <c r="AF237"/>
  <c r="AH237"/>
  <c r="AJ237"/>
  <c r="AN237"/>
  <c r="AN247" s="1"/>
  <c r="AN251" s="1"/>
  <c r="AP237"/>
  <c r="AQ237"/>
  <c r="R239"/>
  <c r="T239"/>
  <c r="V239"/>
  <c r="X239"/>
  <c r="Z239"/>
  <c r="AB239"/>
  <c r="AD239"/>
  <c r="AF239"/>
  <c r="AH239"/>
  <c r="AJ239"/>
  <c r="AL239"/>
  <c r="AN239"/>
  <c r="AP239"/>
  <c r="AQ239"/>
  <c r="B239" s="1"/>
  <c r="B240" s="1"/>
  <c r="E240"/>
  <c r="L242"/>
  <c r="M242"/>
  <c r="N242"/>
  <c r="O242"/>
  <c r="P242"/>
  <c r="AL242"/>
  <c r="AL244" s="1"/>
  <c r="AP242"/>
  <c r="AQ242"/>
  <c r="B242" s="1"/>
  <c r="T244"/>
  <c r="V244"/>
  <c r="X244"/>
  <c r="AQ244" s="1"/>
  <c r="Z244"/>
  <c r="AB244"/>
  <c r="AD244"/>
  <c r="AF244"/>
  <c r="AH244"/>
  <c r="AJ244"/>
  <c r="AN244"/>
  <c r="AP244"/>
  <c r="AD247"/>
  <c r="AH247"/>
  <c r="R250"/>
  <c r="B250" s="1"/>
  <c r="R251"/>
  <c r="T254"/>
  <c r="V254"/>
  <c r="X254"/>
  <c r="Z254"/>
  <c r="AB254"/>
  <c r="AD254"/>
  <c r="AH254"/>
  <c r="AN254"/>
  <c r="L257"/>
  <c r="M257"/>
  <c r="N257"/>
  <c r="O257"/>
  <c r="P257"/>
  <c r="AL257"/>
  <c r="AP257"/>
  <c r="K258"/>
  <c r="L258"/>
  <c r="M258"/>
  <c r="N258"/>
  <c r="O258"/>
  <c r="P258"/>
  <c r="AL258"/>
  <c r="AP258"/>
  <c r="AQ258" s="1"/>
  <c r="B258" s="1"/>
  <c r="K259"/>
  <c r="L259"/>
  <c r="M259"/>
  <c r="N259"/>
  <c r="O259"/>
  <c r="P259"/>
  <c r="AL259"/>
  <c r="AP259"/>
  <c r="AQ259" s="1"/>
  <c r="B259" s="1"/>
  <c r="T261"/>
  <c r="V261"/>
  <c r="X261"/>
  <c r="Z261"/>
  <c r="AB261"/>
  <c r="AD261"/>
  <c r="AF261"/>
  <c r="AH261"/>
  <c r="AJ261"/>
  <c r="AL261"/>
  <c r="AN261"/>
  <c r="AN264" s="1"/>
  <c r="AN266" s="1"/>
  <c r="AN273" s="1"/>
  <c r="L262"/>
  <c r="M262"/>
  <c r="N262"/>
  <c r="O262"/>
  <c r="T262"/>
  <c r="V262"/>
  <c r="X262"/>
  <c r="Z262"/>
  <c r="AB262"/>
  <c r="AD262"/>
  <c r="AH262"/>
  <c r="AJ262"/>
  <c r="AL262" s="1"/>
  <c r="AN262"/>
  <c r="V264"/>
  <c r="Z264"/>
  <c r="AD264"/>
  <c r="AH264"/>
  <c r="AL264"/>
  <c r="R266"/>
  <c r="AL268"/>
  <c r="AQ268"/>
  <c r="R271"/>
  <c r="V271"/>
  <c r="X271"/>
  <c r="Z271"/>
  <c r="AL271"/>
  <c r="R273"/>
  <c r="V273"/>
  <c r="X273"/>
  <c r="Z273"/>
  <c r="V277"/>
  <c r="X277"/>
  <c r="Z277"/>
  <c r="AB277"/>
  <c r="AH277"/>
  <c r="AJ277"/>
  <c r="AL277"/>
  <c r="AN277"/>
  <c r="AP277"/>
  <c r="T278"/>
  <c r="V278"/>
  <c r="X278"/>
  <c r="Z278"/>
  <c r="AB278"/>
  <c r="AD278"/>
  <c r="AF278"/>
  <c r="AH278"/>
  <c r="AJ278"/>
  <c r="AL278"/>
  <c r="AN278"/>
  <c r="AP278"/>
  <c r="T279"/>
  <c r="AF279"/>
  <c r="AH279"/>
  <c r="AJ279"/>
  <c r="AL279"/>
  <c r="AN279"/>
  <c r="AP279"/>
  <c r="V286"/>
  <c r="R286" s="1"/>
  <c r="R36" s="1"/>
  <c r="X286"/>
  <c r="Z286"/>
  <c r="AB286"/>
  <c r="AD286"/>
  <c r="AF286"/>
  <c r="AH286"/>
  <c r="AN286"/>
  <c r="AD292"/>
  <c r="AD31" s="1"/>
  <c r="AD277" s="1"/>
  <c r="AF292"/>
  <c r="AF31" s="1"/>
  <c r="AF277" s="1"/>
  <c r="B293"/>
  <c r="B294"/>
  <c r="B295" s="1"/>
  <c r="B296" s="1"/>
  <c r="B297" s="1"/>
  <c r="B298" s="1"/>
  <c r="B299" s="1"/>
  <c r="B300" s="1"/>
  <c r="B301" s="1"/>
  <c r="B302" s="1"/>
  <c r="Z296"/>
  <c r="Z298"/>
  <c r="P299"/>
  <c r="Z299"/>
  <c r="P300"/>
  <c r="Z300"/>
  <c r="P301"/>
  <c r="Z301"/>
  <c r="P1" i="10"/>
  <c r="Q1" s="1"/>
  <c r="V1"/>
  <c r="W1" s="1"/>
  <c r="X1"/>
  <c r="Y1" s="1"/>
  <c r="Z1"/>
  <c r="AA1" s="1"/>
  <c r="AB1"/>
  <c r="AC1" s="1"/>
  <c r="AD1"/>
  <c r="AE1" s="1"/>
  <c r="AF1"/>
  <c r="AG1" s="1"/>
  <c r="AH1"/>
  <c r="AI1" s="1"/>
  <c r="AJ1"/>
  <c r="AM1"/>
  <c r="T2"/>
  <c r="AH2"/>
  <c r="AJ2" s="1"/>
  <c r="H4"/>
  <c r="I4" s="1"/>
  <c r="H11"/>
  <c r="I11"/>
  <c r="AJ5" s="1"/>
  <c r="F17"/>
  <c r="F22" s="1"/>
  <c r="H22"/>
  <c r="P26"/>
  <c r="P27"/>
  <c r="B29"/>
  <c r="B30" s="1"/>
  <c r="AJ32"/>
  <c r="AF33"/>
  <c r="AH33"/>
  <c r="AJ33"/>
  <c r="AL33"/>
  <c r="AN33"/>
  <c r="AP33"/>
  <c r="E38"/>
  <c r="M38"/>
  <c r="N38"/>
  <c r="O38"/>
  <c r="P38"/>
  <c r="AJ38"/>
  <c r="AL38"/>
  <c r="AP38"/>
  <c r="AQ38"/>
  <c r="M39"/>
  <c r="N39"/>
  <c r="O39"/>
  <c r="P39"/>
  <c r="AJ39"/>
  <c r="AL39"/>
  <c r="AP39"/>
  <c r="AQ39"/>
  <c r="B39" s="1"/>
  <c r="K40"/>
  <c r="P40" s="1"/>
  <c r="M40"/>
  <c r="N40"/>
  <c r="O40"/>
  <c r="AJ40"/>
  <c r="AL40" s="1"/>
  <c r="AP40"/>
  <c r="AP54" s="1"/>
  <c r="K41"/>
  <c r="M41"/>
  <c r="N41"/>
  <c r="O41"/>
  <c r="P41"/>
  <c r="AJ41"/>
  <c r="AL41"/>
  <c r="AP41"/>
  <c r="AQ41"/>
  <c r="B41" s="1"/>
  <c r="K42"/>
  <c r="P42" s="1"/>
  <c r="M42"/>
  <c r="N42"/>
  <c r="O42"/>
  <c r="AJ42"/>
  <c r="AL42" s="1"/>
  <c r="AP42"/>
  <c r="K43"/>
  <c r="M43"/>
  <c r="N43"/>
  <c r="O43"/>
  <c r="P43"/>
  <c r="AJ43"/>
  <c r="AL43"/>
  <c r="AP43"/>
  <c r="AQ43"/>
  <c r="B43" s="1"/>
  <c r="K44"/>
  <c r="P44" s="1"/>
  <c r="M44"/>
  <c r="N44"/>
  <c r="O44"/>
  <c r="AJ44"/>
  <c r="AL44" s="1"/>
  <c r="AP44"/>
  <c r="E46"/>
  <c r="I48"/>
  <c r="I49"/>
  <c r="I50" s="1"/>
  <c r="I51" s="1"/>
  <c r="I52" s="1"/>
  <c r="M49"/>
  <c r="N49"/>
  <c r="O49"/>
  <c r="P49"/>
  <c r="AJ49"/>
  <c r="AL49" s="1"/>
  <c r="AP49"/>
  <c r="AP51" s="1"/>
  <c r="T51"/>
  <c r="V51"/>
  <c r="X51"/>
  <c r="Z51"/>
  <c r="AB51"/>
  <c r="AD51"/>
  <c r="AF51"/>
  <c r="AH51"/>
  <c r="AJ51"/>
  <c r="AN51"/>
  <c r="AU51"/>
  <c r="AV51"/>
  <c r="V54" s="1"/>
  <c r="AW51"/>
  <c r="AX51"/>
  <c r="Z54" s="1"/>
  <c r="AY51"/>
  <c r="AZ51"/>
  <c r="AD54" s="1"/>
  <c r="BA51"/>
  <c r="BB51"/>
  <c r="AH54" s="1"/>
  <c r="BE51"/>
  <c r="BF51"/>
  <c r="T54"/>
  <c r="X54"/>
  <c r="AB54"/>
  <c r="AF54"/>
  <c r="AN54"/>
  <c r="M58"/>
  <c r="N58"/>
  <c r="O58"/>
  <c r="P58"/>
  <c r="AL58"/>
  <c r="AP58"/>
  <c r="AQ58" s="1"/>
  <c r="B58" s="1"/>
  <c r="T60"/>
  <c r="V60"/>
  <c r="X60"/>
  <c r="Z60"/>
  <c r="AB60"/>
  <c r="AD60"/>
  <c r="AF60"/>
  <c r="AH60"/>
  <c r="AJ60"/>
  <c r="AL60"/>
  <c r="AN60"/>
  <c r="M68"/>
  <c r="N68"/>
  <c r="O68"/>
  <c r="P68"/>
  <c r="AL68"/>
  <c r="AL70" s="1"/>
  <c r="AP68"/>
  <c r="AQ68"/>
  <c r="B68" s="1"/>
  <c r="T70"/>
  <c r="V70"/>
  <c r="X70"/>
  <c r="Z70"/>
  <c r="AB70"/>
  <c r="AD70"/>
  <c r="AF70"/>
  <c r="AH70"/>
  <c r="AJ70"/>
  <c r="AN70"/>
  <c r="AP70"/>
  <c r="I75"/>
  <c r="I76"/>
  <c r="M76"/>
  <c r="N76"/>
  <c r="O76"/>
  <c r="P76"/>
  <c r="AL76"/>
  <c r="AP76"/>
  <c r="AQ76" s="1"/>
  <c r="B76" s="1"/>
  <c r="I77"/>
  <c r="I78"/>
  <c r="R78"/>
  <c r="T78"/>
  <c r="V78"/>
  <c r="X78"/>
  <c r="Z78"/>
  <c r="AB78"/>
  <c r="AD78"/>
  <c r="AF78"/>
  <c r="AH78"/>
  <c r="AJ78"/>
  <c r="AL78"/>
  <c r="AN78"/>
  <c r="AU78"/>
  <c r="AV78"/>
  <c r="AW78"/>
  <c r="AX78"/>
  <c r="AY78"/>
  <c r="AZ78"/>
  <c r="BA78"/>
  <c r="BB78"/>
  <c r="BC78"/>
  <c r="BD78"/>
  <c r="BE78"/>
  <c r="BF78"/>
  <c r="I79"/>
  <c r="T81"/>
  <c r="V81"/>
  <c r="X81"/>
  <c r="Z81"/>
  <c r="AB81"/>
  <c r="AD81"/>
  <c r="AF81"/>
  <c r="AH81"/>
  <c r="AJ81"/>
  <c r="AL81"/>
  <c r="AN81"/>
  <c r="AP81"/>
  <c r="M84"/>
  <c r="N84"/>
  <c r="O84"/>
  <c r="P84"/>
  <c r="AL84"/>
  <c r="AP84"/>
  <c r="AQ84" s="1"/>
  <c r="B84" s="1"/>
  <c r="T86"/>
  <c r="V86"/>
  <c r="AQ86" s="1"/>
  <c r="X86"/>
  <c r="Z86"/>
  <c r="AB86"/>
  <c r="AD86"/>
  <c r="AF86"/>
  <c r="AH86"/>
  <c r="AJ86"/>
  <c r="AL86"/>
  <c r="AN86"/>
  <c r="AP86"/>
  <c r="M89"/>
  <c r="N89"/>
  <c r="O89"/>
  <c r="P89"/>
  <c r="AL89"/>
  <c r="AP89"/>
  <c r="AQ89" s="1"/>
  <c r="B89" s="1"/>
  <c r="K90"/>
  <c r="M90"/>
  <c r="N90"/>
  <c r="O90"/>
  <c r="P90"/>
  <c r="AL90"/>
  <c r="AP90"/>
  <c r="AQ90" s="1"/>
  <c r="B90" s="1"/>
  <c r="K91"/>
  <c r="M91"/>
  <c r="N91"/>
  <c r="O91"/>
  <c r="P91"/>
  <c r="AL91"/>
  <c r="AP91"/>
  <c r="AQ91" s="1"/>
  <c r="B91" s="1"/>
  <c r="K92"/>
  <c r="M92"/>
  <c r="N92"/>
  <c r="O92"/>
  <c r="P92"/>
  <c r="AL92"/>
  <c r="AP92"/>
  <c r="AQ92" s="1"/>
  <c r="B92" s="1"/>
  <c r="T94"/>
  <c r="V94"/>
  <c r="AQ94" s="1"/>
  <c r="X94"/>
  <c r="Z94"/>
  <c r="AB94"/>
  <c r="AD94"/>
  <c r="AF94"/>
  <c r="AH94"/>
  <c r="AJ94"/>
  <c r="AL94"/>
  <c r="AN94"/>
  <c r="AP94"/>
  <c r="T96"/>
  <c r="V96"/>
  <c r="AQ96" s="1"/>
  <c r="B96" s="1"/>
  <c r="B97" s="1"/>
  <c r="X96"/>
  <c r="Z96"/>
  <c r="AB96"/>
  <c r="AD96"/>
  <c r="AF96"/>
  <c r="AH96"/>
  <c r="AJ96"/>
  <c r="AL96"/>
  <c r="AN96"/>
  <c r="AP96"/>
  <c r="M99"/>
  <c r="N99"/>
  <c r="O99"/>
  <c r="P99"/>
  <c r="AL99"/>
  <c r="AP99"/>
  <c r="AQ99" s="1"/>
  <c r="B99" s="1"/>
  <c r="T101"/>
  <c r="V101"/>
  <c r="AQ101" s="1"/>
  <c r="X101"/>
  <c r="Z101"/>
  <c r="AB101"/>
  <c r="AD101"/>
  <c r="AF101"/>
  <c r="AH101"/>
  <c r="AJ101"/>
  <c r="AL101"/>
  <c r="AN101"/>
  <c r="AP101"/>
  <c r="T103"/>
  <c r="V103"/>
  <c r="X103"/>
  <c r="Z103"/>
  <c r="AB103"/>
  <c r="AD103"/>
  <c r="AF103"/>
  <c r="AH103"/>
  <c r="AJ103"/>
  <c r="AN103"/>
  <c r="AP103"/>
  <c r="T106"/>
  <c r="X106"/>
  <c r="AB106"/>
  <c r="AF106"/>
  <c r="AN106"/>
  <c r="M112"/>
  <c r="N112"/>
  <c r="O112"/>
  <c r="P112"/>
  <c r="AL112"/>
  <c r="AP112"/>
  <c r="AQ112"/>
  <c r="B112" s="1"/>
  <c r="K113"/>
  <c r="P113" s="1"/>
  <c r="M113"/>
  <c r="N113"/>
  <c r="O113"/>
  <c r="AL113"/>
  <c r="AP113"/>
  <c r="AQ113"/>
  <c r="B113" s="1"/>
  <c r="K114"/>
  <c r="P114" s="1"/>
  <c r="M114"/>
  <c r="N114"/>
  <c r="O114"/>
  <c r="AL114"/>
  <c r="AP114"/>
  <c r="AQ114"/>
  <c r="B114" s="1"/>
  <c r="K115"/>
  <c r="P115" s="1"/>
  <c r="M115"/>
  <c r="N115"/>
  <c r="O115"/>
  <c r="AL115"/>
  <c r="AP115"/>
  <c r="AQ115"/>
  <c r="B115" s="1"/>
  <c r="T117"/>
  <c r="V117"/>
  <c r="AQ117" s="1"/>
  <c r="X117"/>
  <c r="Z117"/>
  <c r="Z120" s="1"/>
  <c r="AB117"/>
  <c r="AD117"/>
  <c r="AD120" s="1"/>
  <c r="AF117"/>
  <c r="AH117"/>
  <c r="AH120" s="1"/>
  <c r="AJ117"/>
  <c r="AL117"/>
  <c r="AL120" s="1"/>
  <c r="AN117"/>
  <c r="AP117"/>
  <c r="M118"/>
  <c r="N118"/>
  <c r="O118"/>
  <c r="T118"/>
  <c r="V118"/>
  <c r="X118"/>
  <c r="Z118"/>
  <c r="AB118"/>
  <c r="AD118"/>
  <c r="AH118"/>
  <c r="AJ118"/>
  <c r="AL118"/>
  <c r="AN118"/>
  <c r="T120"/>
  <c r="T122" s="1"/>
  <c r="T129" s="1"/>
  <c r="T145" s="1"/>
  <c r="X120"/>
  <c r="X122" s="1"/>
  <c r="AB120"/>
  <c r="AB122" s="1"/>
  <c r="AJ120"/>
  <c r="AN120"/>
  <c r="AL124"/>
  <c r="AQ124" s="1"/>
  <c r="V127"/>
  <c r="X127"/>
  <c r="Z127"/>
  <c r="AL127"/>
  <c r="V129"/>
  <c r="X129"/>
  <c r="Z129"/>
  <c r="V133"/>
  <c r="X133"/>
  <c r="Z133"/>
  <c r="AB133"/>
  <c r="AH133"/>
  <c r="AJ133"/>
  <c r="AL133"/>
  <c r="AN133"/>
  <c r="AP133"/>
  <c r="T134"/>
  <c r="V134"/>
  <c r="X134"/>
  <c r="Z134"/>
  <c r="AB134"/>
  <c r="AD134"/>
  <c r="AF134"/>
  <c r="AH134"/>
  <c r="AJ134"/>
  <c r="AL134"/>
  <c r="AN134"/>
  <c r="AP134"/>
  <c r="T135"/>
  <c r="AF135"/>
  <c r="AH135"/>
  <c r="AJ135"/>
  <c r="AL135"/>
  <c r="AN135"/>
  <c r="AP135"/>
  <c r="V142"/>
  <c r="B142" s="1"/>
  <c r="B141" s="1"/>
  <c r="B140" s="1"/>
  <c r="B139" s="1"/>
  <c r="B138" s="1"/>
  <c r="B137" s="1"/>
  <c r="B136" s="1"/>
  <c r="B135" s="1"/>
  <c r="B134" s="1"/>
  <c r="B133" s="1"/>
  <c r="B132" s="1"/>
  <c r="B131" s="1"/>
  <c r="B130" s="1"/>
  <c r="X142"/>
  <c r="Z142"/>
  <c r="AB142"/>
  <c r="AD142"/>
  <c r="AF142"/>
  <c r="AH142"/>
  <c r="AN142"/>
  <c r="AD148"/>
  <c r="AD31" s="1"/>
  <c r="AD133" s="1"/>
  <c r="AF148"/>
  <c r="AF31" s="1"/>
  <c r="AF133" s="1"/>
  <c r="B149"/>
  <c r="B150"/>
  <c r="B151" s="1"/>
  <c r="B152" s="1"/>
  <c r="B153" s="1"/>
  <c r="B154" s="1"/>
  <c r="B155" s="1"/>
  <c r="B156" s="1"/>
  <c r="B157" s="1"/>
  <c r="B158" s="1"/>
  <c r="Z151"/>
  <c r="Z152"/>
  <c r="Z153"/>
  <c r="Z154"/>
  <c r="P155"/>
  <c r="Z155"/>
  <c r="P156"/>
  <c r="Z156"/>
  <c r="P157"/>
  <c r="Z157"/>
  <c r="P1" i="12"/>
  <c r="Q1" s="1"/>
  <c r="V1"/>
  <c r="W1" s="1"/>
  <c r="X1"/>
  <c r="Y1" s="1"/>
  <c r="Z1"/>
  <c r="AA1" s="1"/>
  <c r="AB1"/>
  <c r="AC1" s="1"/>
  <c r="AD1"/>
  <c r="AE1" s="1"/>
  <c r="AF1"/>
  <c r="AG1" s="1"/>
  <c r="AH1"/>
  <c r="AI1" s="1"/>
  <c r="AJ1"/>
  <c r="AM1"/>
  <c r="T2"/>
  <c r="AH2"/>
  <c r="AJ2"/>
  <c r="H4"/>
  <c r="I4"/>
  <c r="AN5" s="1"/>
  <c r="H5"/>
  <c r="I5" s="1"/>
  <c r="AF2" s="1"/>
  <c r="AF8" s="1"/>
  <c r="AP5"/>
  <c r="I11"/>
  <c r="AJ5" s="1"/>
  <c r="F17"/>
  <c r="F22"/>
  <c r="L38" s="1"/>
  <c r="H22"/>
  <c r="P25"/>
  <c r="P26"/>
  <c r="P27"/>
  <c r="B29"/>
  <c r="B30"/>
  <c r="AJ32"/>
  <c r="AJ131" s="1"/>
  <c r="AF33"/>
  <c r="AH33"/>
  <c r="AH132" s="1"/>
  <c r="AJ33"/>
  <c r="AL33"/>
  <c r="AL132" s="1"/>
  <c r="AN33"/>
  <c r="AP33"/>
  <c r="AP132" s="1"/>
  <c r="E38"/>
  <c r="M38"/>
  <c r="N38"/>
  <c r="O38"/>
  <c r="P38"/>
  <c r="AJ38"/>
  <c r="AL38" s="1"/>
  <c r="AP38"/>
  <c r="AP53" s="1"/>
  <c r="M39"/>
  <c r="N39"/>
  <c r="O39"/>
  <c r="P39"/>
  <c r="AJ39"/>
  <c r="AL39" s="1"/>
  <c r="AP39"/>
  <c r="K40"/>
  <c r="L40"/>
  <c r="M40"/>
  <c r="N40"/>
  <c r="O40"/>
  <c r="P40"/>
  <c r="AJ40"/>
  <c r="AL40"/>
  <c r="AP40"/>
  <c r="AQ40"/>
  <c r="B40" s="1"/>
  <c r="K41"/>
  <c r="P41" s="1"/>
  <c r="M41"/>
  <c r="N41"/>
  <c r="O41"/>
  <c r="AJ41"/>
  <c r="AL41" s="1"/>
  <c r="AP41"/>
  <c r="K42"/>
  <c r="L42"/>
  <c r="M42"/>
  <c r="N42"/>
  <c r="O42"/>
  <c r="P42"/>
  <c r="AJ42"/>
  <c r="AL42"/>
  <c r="AP42"/>
  <c r="AQ42"/>
  <c r="B42" s="1"/>
  <c r="K43"/>
  <c r="P43" s="1"/>
  <c r="M43"/>
  <c r="N43"/>
  <c r="O43"/>
  <c r="AJ43"/>
  <c r="AL43" s="1"/>
  <c r="AP43"/>
  <c r="E45"/>
  <c r="I47"/>
  <c r="I48"/>
  <c r="I49" s="1"/>
  <c r="I50" s="1"/>
  <c r="I51" s="1"/>
  <c r="M48"/>
  <c r="N48"/>
  <c r="O48"/>
  <c r="P48"/>
  <c r="AJ48"/>
  <c r="AL48" s="1"/>
  <c r="AP48"/>
  <c r="AP50" s="1"/>
  <c r="T50"/>
  <c r="V50"/>
  <c r="X50"/>
  <c r="Z50"/>
  <c r="AB50"/>
  <c r="AD50"/>
  <c r="AF50"/>
  <c r="AH50"/>
  <c r="AJ50"/>
  <c r="AN50"/>
  <c r="AU50"/>
  <c r="AV50"/>
  <c r="V53" s="1"/>
  <c r="AW50"/>
  <c r="AX50"/>
  <c r="Z53" s="1"/>
  <c r="AY50"/>
  <c r="AZ50"/>
  <c r="AD53" s="1"/>
  <c r="BA50"/>
  <c r="BB50"/>
  <c r="AH53" s="1"/>
  <c r="BE50"/>
  <c r="BF50"/>
  <c r="T53"/>
  <c r="X53"/>
  <c r="AB53"/>
  <c r="AF53"/>
  <c r="AN53"/>
  <c r="E55"/>
  <c r="L57"/>
  <c r="M57"/>
  <c r="N57"/>
  <c r="O57"/>
  <c r="P57"/>
  <c r="AL57"/>
  <c r="AP57"/>
  <c r="AQ57" s="1"/>
  <c r="B57" s="1"/>
  <c r="T59"/>
  <c r="V59"/>
  <c r="X59"/>
  <c r="Z59"/>
  <c r="AB59"/>
  <c r="AD59"/>
  <c r="AF59"/>
  <c r="AH59"/>
  <c r="AJ59"/>
  <c r="AL59"/>
  <c r="AN59"/>
  <c r="T61"/>
  <c r="X61"/>
  <c r="AB61"/>
  <c r="AF61"/>
  <c r="AJ61"/>
  <c r="AN61"/>
  <c r="R63"/>
  <c r="R65"/>
  <c r="R69" s="1"/>
  <c r="M67"/>
  <c r="N67"/>
  <c r="O67"/>
  <c r="P67"/>
  <c r="AL67"/>
  <c r="AL69" s="1"/>
  <c r="AP67"/>
  <c r="AQ67"/>
  <c r="B67" s="1"/>
  <c r="T69"/>
  <c r="T101" s="1"/>
  <c r="V69"/>
  <c r="X69"/>
  <c r="X101" s="1"/>
  <c r="Z69"/>
  <c r="AB69"/>
  <c r="AB101" s="1"/>
  <c r="AD69"/>
  <c r="AF69"/>
  <c r="AF101" s="1"/>
  <c r="AH69"/>
  <c r="AJ69"/>
  <c r="AJ101" s="1"/>
  <c r="AN69"/>
  <c r="AN101" s="1"/>
  <c r="AN104" s="1"/>
  <c r="AP69"/>
  <c r="E71"/>
  <c r="I74"/>
  <c r="I75"/>
  <c r="L75"/>
  <c r="M75"/>
  <c r="N75"/>
  <c r="O75"/>
  <c r="P75"/>
  <c r="AL75"/>
  <c r="AP75"/>
  <c r="AQ75" s="1"/>
  <c r="B75" s="1"/>
  <c r="I76"/>
  <c r="I77"/>
  <c r="R77"/>
  <c r="T77"/>
  <c r="V77"/>
  <c r="X77"/>
  <c r="Z77"/>
  <c r="AB77"/>
  <c r="AD77"/>
  <c r="AF77"/>
  <c r="AH77"/>
  <c r="AJ77"/>
  <c r="AL77"/>
  <c r="AN77"/>
  <c r="AU77"/>
  <c r="AV77"/>
  <c r="AW77"/>
  <c r="AX77"/>
  <c r="AY77"/>
  <c r="AZ77"/>
  <c r="BA77"/>
  <c r="BB77"/>
  <c r="BC77"/>
  <c r="BD77"/>
  <c r="BE77"/>
  <c r="BF77"/>
  <c r="I78"/>
  <c r="T80"/>
  <c r="V80"/>
  <c r="X80"/>
  <c r="Z80"/>
  <c r="AB80"/>
  <c r="AD80"/>
  <c r="AF80"/>
  <c r="AH80"/>
  <c r="AJ80"/>
  <c r="AL80"/>
  <c r="AN80"/>
  <c r="AP80"/>
  <c r="L83"/>
  <c r="M83"/>
  <c r="N83"/>
  <c r="O83"/>
  <c r="P83"/>
  <c r="AL83"/>
  <c r="AP83"/>
  <c r="AQ83" s="1"/>
  <c r="B83" s="1"/>
  <c r="T85"/>
  <c r="V85"/>
  <c r="AQ85" s="1"/>
  <c r="X85"/>
  <c r="Z85"/>
  <c r="AB85"/>
  <c r="AD85"/>
  <c r="AF85"/>
  <c r="AH85"/>
  <c r="AJ85"/>
  <c r="AL85"/>
  <c r="AN85"/>
  <c r="AP85"/>
  <c r="E86"/>
  <c r="L88"/>
  <c r="M88"/>
  <c r="N88"/>
  <c r="O88"/>
  <c r="P88"/>
  <c r="AL88"/>
  <c r="AP88"/>
  <c r="AQ88" s="1"/>
  <c r="B88" s="1"/>
  <c r="K89"/>
  <c r="L89"/>
  <c r="M89"/>
  <c r="N89"/>
  <c r="O89"/>
  <c r="P89"/>
  <c r="AL89"/>
  <c r="AP89"/>
  <c r="AQ89" s="1"/>
  <c r="B89" s="1"/>
  <c r="K90"/>
  <c r="L90"/>
  <c r="M90"/>
  <c r="N90"/>
  <c r="O90"/>
  <c r="P90"/>
  <c r="AL90"/>
  <c r="AP90"/>
  <c r="AQ90" s="1"/>
  <c r="B90" s="1"/>
  <c r="T92"/>
  <c r="V92"/>
  <c r="AQ92" s="1"/>
  <c r="X92"/>
  <c r="Z92"/>
  <c r="AB92"/>
  <c r="AD92"/>
  <c r="AF92"/>
  <c r="AH92"/>
  <c r="AJ92"/>
  <c r="AL92"/>
  <c r="AN92"/>
  <c r="AP92"/>
  <c r="R94"/>
  <c r="T94"/>
  <c r="V94"/>
  <c r="AQ94" s="1"/>
  <c r="B94" s="1"/>
  <c r="B95" s="1"/>
  <c r="X94"/>
  <c r="Z94"/>
  <c r="AB94"/>
  <c r="AD94"/>
  <c r="AF94"/>
  <c r="AH94"/>
  <c r="AJ94"/>
  <c r="AL94"/>
  <c r="AN94"/>
  <c r="AP94"/>
  <c r="E95"/>
  <c r="L97"/>
  <c r="M97"/>
  <c r="N97"/>
  <c r="O97"/>
  <c r="P97"/>
  <c r="AL97"/>
  <c r="AP97"/>
  <c r="AQ97" s="1"/>
  <c r="B97" s="1"/>
  <c r="T99"/>
  <c r="V99"/>
  <c r="AQ99" s="1"/>
  <c r="X99"/>
  <c r="Z99"/>
  <c r="AB99"/>
  <c r="AD99"/>
  <c r="AF99"/>
  <c r="AH99"/>
  <c r="AJ99"/>
  <c r="AL99"/>
  <c r="AN99"/>
  <c r="AP99"/>
  <c r="V101"/>
  <c r="Z101"/>
  <c r="AD101"/>
  <c r="AH101"/>
  <c r="AP101"/>
  <c r="B103"/>
  <c r="R103"/>
  <c r="R104"/>
  <c r="T107"/>
  <c r="V107"/>
  <c r="X107"/>
  <c r="Z107"/>
  <c r="AB107"/>
  <c r="AD107"/>
  <c r="AH107"/>
  <c r="AN107"/>
  <c r="L110"/>
  <c r="M110"/>
  <c r="N110"/>
  <c r="O110"/>
  <c r="P110"/>
  <c r="AL110"/>
  <c r="AP110"/>
  <c r="AQ110"/>
  <c r="B110" s="1"/>
  <c r="K111"/>
  <c r="P111" s="1"/>
  <c r="L111"/>
  <c r="M111"/>
  <c r="N111"/>
  <c r="O111"/>
  <c r="AL111"/>
  <c r="AP111"/>
  <c r="AQ111"/>
  <c r="B111" s="1"/>
  <c r="K112"/>
  <c r="P112" s="1"/>
  <c r="L112"/>
  <c r="M112"/>
  <c r="N112"/>
  <c r="O112"/>
  <c r="AL112"/>
  <c r="AP112"/>
  <c r="AQ112"/>
  <c r="B112" s="1"/>
  <c r="T114"/>
  <c r="V114"/>
  <c r="AQ114" s="1"/>
  <c r="X114"/>
  <c r="Z114"/>
  <c r="Z117" s="1"/>
  <c r="AB114"/>
  <c r="AD114"/>
  <c r="AD117" s="1"/>
  <c r="AF114"/>
  <c r="AH114"/>
  <c r="AH117" s="1"/>
  <c r="AJ114"/>
  <c r="AL114"/>
  <c r="AL117" s="1"/>
  <c r="AN114"/>
  <c r="AP114"/>
  <c r="L115"/>
  <c r="M115"/>
  <c r="N115"/>
  <c r="O115"/>
  <c r="T115"/>
  <c r="V115"/>
  <c r="X115"/>
  <c r="Z115"/>
  <c r="AB115"/>
  <c r="AD115"/>
  <c r="AH115"/>
  <c r="AJ115"/>
  <c r="AL115"/>
  <c r="AN115"/>
  <c r="T117"/>
  <c r="X117"/>
  <c r="AB117"/>
  <c r="AJ117"/>
  <c r="AN117"/>
  <c r="AN119" s="1"/>
  <c r="AN126" s="1"/>
  <c r="R119"/>
  <c r="AL121"/>
  <c r="AQ121" s="1"/>
  <c r="R124"/>
  <c r="V124"/>
  <c r="X124"/>
  <c r="Z124"/>
  <c r="AL124"/>
  <c r="R126"/>
  <c r="V126"/>
  <c r="X126"/>
  <c r="Z126"/>
  <c r="V130"/>
  <c r="X130"/>
  <c r="Z130"/>
  <c r="AB130"/>
  <c r="AH130"/>
  <c r="AJ130"/>
  <c r="AL130"/>
  <c r="AN130"/>
  <c r="AP130"/>
  <c r="T131"/>
  <c r="V131"/>
  <c r="X131"/>
  <c r="Z131"/>
  <c r="AB131"/>
  <c r="AD131"/>
  <c r="AF131"/>
  <c r="AH131"/>
  <c r="AL131"/>
  <c r="AN131"/>
  <c r="AP131"/>
  <c r="T132"/>
  <c r="AF132"/>
  <c r="AJ132"/>
  <c r="AN132"/>
  <c r="V139"/>
  <c r="X139"/>
  <c r="Z139"/>
  <c r="AB139"/>
  <c r="AD139"/>
  <c r="AF139"/>
  <c r="AH139"/>
  <c r="AN139"/>
  <c r="AD145"/>
  <c r="AD31" s="1"/>
  <c r="AD130" s="1"/>
  <c r="AF145"/>
  <c r="AF31" s="1"/>
  <c r="AF130" s="1"/>
  <c r="B146"/>
  <c r="B147"/>
  <c r="B148" s="1"/>
  <c r="Z148"/>
  <c r="B149"/>
  <c r="B150" s="1"/>
  <c r="Z149"/>
  <c r="Z150"/>
  <c r="B151"/>
  <c r="B152" s="1"/>
  <c r="B153" s="1"/>
  <c r="B154" s="1"/>
  <c r="B155" s="1"/>
  <c r="Z151"/>
  <c r="P152"/>
  <c r="Z152"/>
  <c r="P153"/>
  <c r="P154" s="1"/>
  <c r="Z153"/>
  <c r="Z154"/>
  <c r="P1" i="13"/>
  <c r="Q1" s="1"/>
  <c r="V1"/>
  <c r="W1" s="1"/>
  <c r="X1"/>
  <c r="Y1" s="1"/>
  <c r="Z1"/>
  <c r="AA1" s="1"/>
  <c r="AB1"/>
  <c r="AC1" s="1"/>
  <c r="AD1"/>
  <c r="AE1" s="1"/>
  <c r="AF1"/>
  <c r="AG1" s="1"/>
  <c r="AH1"/>
  <c r="AM1"/>
  <c r="T2"/>
  <c r="AH2"/>
  <c r="AJ2"/>
  <c r="H4"/>
  <c r="I4"/>
  <c r="AN5" s="1"/>
  <c r="H5"/>
  <c r="I11"/>
  <c r="H11" s="1"/>
  <c r="F17"/>
  <c r="F22"/>
  <c r="L39" s="1"/>
  <c r="H22"/>
  <c r="R25"/>
  <c r="R26"/>
  <c r="R27"/>
  <c r="B29"/>
  <c r="B30"/>
  <c r="AJ32"/>
  <c r="AF33"/>
  <c r="AH33"/>
  <c r="AJ33"/>
  <c r="AL33"/>
  <c r="AN33"/>
  <c r="AP33"/>
  <c r="E38"/>
  <c r="M38"/>
  <c r="N38"/>
  <c r="O38"/>
  <c r="P38"/>
  <c r="AJ38"/>
  <c r="AL38" s="1"/>
  <c r="AQ38"/>
  <c r="M39"/>
  <c r="N39"/>
  <c r="O39"/>
  <c r="P39"/>
  <c r="AJ39"/>
  <c r="AL39"/>
  <c r="K40"/>
  <c r="P40" s="1"/>
  <c r="M40"/>
  <c r="N40"/>
  <c r="O40"/>
  <c r="AL40"/>
  <c r="AQ40" s="1"/>
  <c r="B40" s="1"/>
  <c r="K41"/>
  <c r="L41"/>
  <c r="M41"/>
  <c r="N41"/>
  <c r="O41"/>
  <c r="P41"/>
  <c r="AL41"/>
  <c r="K42"/>
  <c r="M42"/>
  <c r="N42"/>
  <c r="O42"/>
  <c r="P42"/>
  <c r="AL42"/>
  <c r="E44"/>
  <c r="I46"/>
  <c r="I47"/>
  <c r="I48" s="1"/>
  <c r="I49" s="1"/>
  <c r="I50" s="1"/>
  <c r="M47"/>
  <c r="N47"/>
  <c r="P47"/>
  <c r="AJ47"/>
  <c r="AP47"/>
  <c r="AP49" s="1"/>
  <c r="T49"/>
  <c r="V49"/>
  <c r="X49"/>
  <c r="Z49"/>
  <c r="AB49"/>
  <c r="AD49"/>
  <c r="AF49"/>
  <c r="AH49"/>
  <c r="AJ49"/>
  <c r="AN49"/>
  <c r="AU49"/>
  <c r="AV49"/>
  <c r="V52" s="1"/>
  <c r="AW49"/>
  <c r="AX49"/>
  <c r="Z52" s="1"/>
  <c r="AY49"/>
  <c r="AZ49"/>
  <c r="AD52" s="1"/>
  <c r="BA49"/>
  <c r="BB49"/>
  <c r="AH52" s="1"/>
  <c r="BE49"/>
  <c r="BF49"/>
  <c r="T52"/>
  <c r="X52"/>
  <c r="AB52"/>
  <c r="AF52"/>
  <c r="AN52"/>
  <c r="B56"/>
  <c r="M56"/>
  <c r="N56"/>
  <c r="O56"/>
  <c r="P56"/>
  <c r="AL56"/>
  <c r="AP56"/>
  <c r="AQ56"/>
  <c r="R58"/>
  <c r="T58"/>
  <c r="V58"/>
  <c r="X58"/>
  <c r="Z58"/>
  <c r="AB58"/>
  <c r="AD58"/>
  <c r="AF58"/>
  <c r="AH58"/>
  <c r="AJ58"/>
  <c r="AL58"/>
  <c r="AN58"/>
  <c r="AP58"/>
  <c r="R60"/>
  <c r="V60"/>
  <c r="Z60"/>
  <c r="AD60"/>
  <c r="AH60"/>
  <c r="AL60"/>
  <c r="AP60"/>
  <c r="E65"/>
  <c r="L66"/>
  <c r="M66"/>
  <c r="N66"/>
  <c r="O66"/>
  <c r="P66"/>
  <c r="AJ66"/>
  <c r="AL66"/>
  <c r="AL68" s="1"/>
  <c r="T68"/>
  <c r="V68"/>
  <c r="X68"/>
  <c r="Z68"/>
  <c r="AB68"/>
  <c r="AD68"/>
  <c r="AF68"/>
  <c r="AH68"/>
  <c r="AJ68"/>
  <c r="AN68"/>
  <c r="E70"/>
  <c r="I73"/>
  <c r="I74"/>
  <c r="L74"/>
  <c r="M74"/>
  <c r="N74"/>
  <c r="O74"/>
  <c r="P74"/>
  <c r="AL74"/>
  <c r="AL77" s="1"/>
  <c r="AP74"/>
  <c r="AQ74"/>
  <c r="B74" s="1"/>
  <c r="I75"/>
  <c r="O75" s="1"/>
  <c r="K75"/>
  <c r="L75"/>
  <c r="M75"/>
  <c r="N75"/>
  <c r="P75"/>
  <c r="AL75"/>
  <c r="AP75"/>
  <c r="AQ75" s="1"/>
  <c r="B75" s="1"/>
  <c r="I76"/>
  <c r="I77"/>
  <c r="R77"/>
  <c r="T77"/>
  <c r="V77"/>
  <c r="X77"/>
  <c r="Z77"/>
  <c r="AB77"/>
  <c r="AD77"/>
  <c r="AF77"/>
  <c r="AH77"/>
  <c r="AJ77"/>
  <c r="AN77"/>
  <c r="AU77"/>
  <c r="AV77"/>
  <c r="AW77"/>
  <c r="AX77"/>
  <c r="AY77"/>
  <c r="AZ77"/>
  <c r="BA77"/>
  <c r="BB77"/>
  <c r="BC77"/>
  <c r="BD77"/>
  <c r="BE77"/>
  <c r="BF77"/>
  <c r="I78"/>
  <c r="T80"/>
  <c r="V80"/>
  <c r="X80"/>
  <c r="Z80"/>
  <c r="AB80"/>
  <c r="AD80"/>
  <c r="AF80"/>
  <c r="AH80"/>
  <c r="AJ80"/>
  <c r="AL80"/>
  <c r="AN80"/>
  <c r="AP80"/>
  <c r="L83"/>
  <c r="M83"/>
  <c r="N83"/>
  <c r="O83"/>
  <c r="P83"/>
  <c r="AL83"/>
  <c r="AP83"/>
  <c r="AQ83" s="1"/>
  <c r="B83" s="1"/>
  <c r="T85"/>
  <c r="V85"/>
  <c r="AQ85" s="1"/>
  <c r="X85"/>
  <c r="Z85"/>
  <c r="AB85"/>
  <c r="AD85"/>
  <c r="AF85"/>
  <c r="AH85"/>
  <c r="AJ85"/>
  <c r="AL85"/>
  <c r="AN85"/>
  <c r="AP85"/>
  <c r="E86"/>
  <c r="L88"/>
  <c r="M88"/>
  <c r="N88"/>
  <c r="O88"/>
  <c r="P88"/>
  <c r="AH88"/>
  <c r="AJ88" s="1"/>
  <c r="AL88" s="1"/>
  <c r="AP88"/>
  <c r="K89"/>
  <c r="L89"/>
  <c r="M89"/>
  <c r="N89"/>
  <c r="O89"/>
  <c r="P89"/>
  <c r="AL89"/>
  <c r="AP89"/>
  <c r="K90"/>
  <c r="L90"/>
  <c r="M90"/>
  <c r="N90"/>
  <c r="O90"/>
  <c r="P90"/>
  <c r="AH90"/>
  <c r="AJ90" s="1"/>
  <c r="AP90"/>
  <c r="K91"/>
  <c r="P91" s="1"/>
  <c r="L91"/>
  <c r="M91"/>
  <c r="N91"/>
  <c r="O91"/>
  <c r="AL91"/>
  <c r="AP91"/>
  <c r="AQ91"/>
  <c r="B91" s="1"/>
  <c r="T93"/>
  <c r="V93"/>
  <c r="X93"/>
  <c r="Z93"/>
  <c r="AB93"/>
  <c r="AD93"/>
  <c r="AF93"/>
  <c r="AN93"/>
  <c r="AP93"/>
  <c r="R95"/>
  <c r="T95"/>
  <c r="V95"/>
  <c r="X95"/>
  <c r="Z95"/>
  <c r="AB95"/>
  <c r="AD95"/>
  <c r="AF95"/>
  <c r="AH95"/>
  <c r="AJ95"/>
  <c r="AL95"/>
  <c r="AN95"/>
  <c r="AP95"/>
  <c r="AQ95" s="1"/>
  <c r="B95" s="1"/>
  <c r="B96" s="1"/>
  <c r="E96"/>
  <c r="L98"/>
  <c r="M98"/>
  <c r="N98"/>
  <c r="O98"/>
  <c r="P98"/>
  <c r="AL98"/>
  <c r="AL100" s="1"/>
  <c r="AQ100" s="1"/>
  <c r="AP98"/>
  <c r="AQ98"/>
  <c r="B98" s="1"/>
  <c r="T100"/>
  <c r="V100"/>
  <c r="X100"/>
  <c r="Z100"/>
  <c r="AB100"/>
  <c r="AD100"/>
  <c r="AF100"/>
  <c r="AH100"/>
  <c r="AJ100"/>
  <c r="AN100"/>
  <c r="AP100"/>
  <c r="T102"/>
  <c r="T106" s="1"/>
  <c r="V102"/>
  <c r="X102"/>
  <c r="X106" s="1"/>
  <c r="Z102"/>
  <c r="AB102"/>
  <c r="AB106" s="1"/>
  <c r="AD102"/>
  <c r="AF102"/>
  <c r="AN102"/>
  <c r="AN106" s="1"/>
  <c r="B105"/>
  <c r="R105"/>
  <c r="AB105"/>
  <c r="R106"/>
  <c r="V106"/>
  <c r="Z106"/>
  <c r="AD106"/>
  <c r="T109"/>
  <c r="V109"/>
  <c r="X109"/>
  <c r="Z109"/>
  <c r="AB109"/>
  <c r="AD109"/>
  <c r="AH109"/>
  <c r="AN109"/>
  <c r="L112"/>
  <c r="M112"/>
  <c r="N112"/>
  <c r="O112"/>
  <c r="P112"/>
  <c r="AL112"/>
  <c r="AP112"/>
  <c r="AQ112"/>
  <c r="B112" s="1"/>
  <c r="K113"/>
  <c r="P113" s="1"/>
  <c r="L113"/>
  <c r="M113"/>
  <c r="N113"/>
  <c r="O113"/>
  <c r="AL113"/>
  <c r="AP113"/>
  <c r="AQ113"/>
  <c r="B113" s="1"/>
  <c r="K114"/>
  <c r="P114" s="1"/>
  <c r="L114"/>
  <c r="M114"/>
  <c r="N114"/>
  <c r="O114"/>
  <c r="AL114"/>
  <c r="AP114"/>
  <c r="AQ114"/>
  <c r="B114" s="1"/>
  <c r="K115"/>
  <c r="P115" s="1"/>
  <c r="L115"/>
  <c r="M115"/>
  <c r="N115"/>
  <c r="O115"/>
  <c r="AL115"/>
  <c r="AP115"/>
  <c r="AQ115"/>
  <c r="B115" s="1"/>
  <c r="T117"/>
  <c r="V117"/>
  <c r="AQ117" s="1"/>
  <c r="X117"/>
  <c r="Z117"/>
  <c r="Z120" s="1"/>
  <c r="AB117"/>
  <c r="AD117"/>
  <c r="AD120" s="1"/>
  <c r="AF117"/>
  <c r="AH117"/>
  <c r="AH120" s="1"/>
  <c r="AJ117"/>
  <c r="AL117"/>
  <c r="AN117"/>
  <c r="AP117"/>
  <c r="L118"/>
  <c r="M118"/>
  <c r="N118"/>
  <c r="O118"/>
  <c r="T118"/>
  <c r="V118"/>
  <c r="X118"/>
  <c r="Z118"/>
  <c r="AB118"/>
  <c r="AD118"/>
  <c r="AH118"/>
  <c r="AN118"/>
  <c r="T120"/>
  <c r="T122" s="1"/>
  <c r="T129" s="1"/>
  <c r="T145" s="1"/>
  <c r="X120"/>
  <c r="X122" s="1"/>
  <c r="AB120"/>
  <c r="AB122" s="1"/>
  <c r="AN120"/>
  <c r="AN122" s="1"/>
  <c r="AN129" s="1"/>
  <c r="R122"/>
  <c r="AL124"/>
  <c r="AQ124" s="1"/>
  <c r="R127"/>
  <c r="V127"/>
  <c r="X127"/>
  <c r="Z127"/>
  <c r="AL127"/>
  <c r="R129"/>
  <c r="V129"/>
  <c r="X129"/>
  <c r="Z129"/>
  <c r="V133"/>
  <c r="X133"/>
  <c r="Z133"/>
  <c r="AB133"/>
  <c r="AH133"/>
  <c r="AJ133"/>
  <c r="AL133"/>
  <c r="AN133"/>
  <c r="AP133"/>
  <c r="T134"/>
  <c r="V134"/>
  <c r="X134"/>
  <c r="Z134"/>
  <c r="AB134"/>
  <c r="AD134"/>
  <c r="AF134"/>
  <c r="AH134"/>
  <c r="AJ134"/>
  <c r="AL134"/>
  <c r="AN134"/>
  <c r="AP134"/>
  <c r="T135"/>
  <c r="AF135"/>
  <c r="AH135"/>
  <c r="AJ135"/>
  <c r="AL135"/>
  <c r="AN135"/>
  <c r="AP135"/>
  <c r="V142"/>
  <c r="R142" s="1"/>
  <c r="R36" s="1"/>
  <c r="X142"/>
  <c r="Z142"/>
  <c r="AB142"/>
  <c r="AD142"/>
  <c r="AF142"/>
  <c r="AH142"/>
  <c r="AN142"/>
  <c r="AD148"/>
  <c r="AD31" s="1"/>
  <c r="AD133" s="1"/>
  <c r="AF148"/>
  <c r="AF31" s="1"/>
  <c r="AF133" s="1"/>
  <c r="B149"/>
  <c r="B150"/>
  <c r="B151" s="1"/>
  <c r="B152" s="1"/>
  <c r="B153" s="1"/>
  <c r="B154" s="1"/>
  <c r="B155" s="1"/>
  <c r="B156" s="1"/>
  <c r="B157" s="1"/>
  <c r="B158" s="1"/>
  <c r="Z152"/>
  <c r="AH70" s="1"/>
  <c r="Z153"/>
  <c r="Z154"/>
  <c r="P155"/>
  <c r="Z155"/>
  <c r="P156"/>
  <c r="Z156"/>
  <c r="P157"/>
  <c r="Z157"/>
  <c r="P1" i="15"/>
  <c r="Q1"/>
  <c r="V1"/>
  <c r="W1"/>
  <c r="X1"/>
  <c r="Y1"/>
  <c r="Z1"/>
  <c r="AA1"/>
  <c r="AB1"/>
  <c r="AC1"/>
  <c r="AD1"/>
  <c r="AE1"/>
  <c r="AF1"/>
  <c r="AG1"/>
  <c r="AH1"/>
  <c r="AI1"/>
  <c r="AJ1"/>
  <c r="AK1"/>
  <c r="AM1"/>
  <c r="T2"/>
  <c r="AH2"/>
  <c r="AJ2" s="1"/>
  <c r="H4"/>
  <c r="I4" s="1"/>
  <c r="H11"/>
  <c r="I11"/>
  <c r="AJ5" s="1"/>
  <c r="F17"/>
  <c r="F22" s="1"/>
  <c r="H22"/>
  <c r="R26"/>
  <c r="R27"/>
  <c r="B29"/>
  <c r="B30" s="1"/>
  <c r="AJ32"/>
  <c r="AF33"/>
  <c r="AH33"/>
  <c r="AJ33"/>
  <c r="AL33"/>
  <c r="AN33"/>
  <c r="AP33"/>
  <c r="E38"/>
  <c r="M38"/>
  <c r="N38"/>
  <c r="O38"/>
  <c r="P38"/>
  <c r="AJ38"/>
  <c r="AL38"/>
  <c r="AQ38" s="1"/>
  <c r="M39"/>
  <c r="N39"/>
  <c r="O39"/>
  <c r="P39"/>
  <c r="AJ39"/>
  <c r="AL39" s="1"/>
  <c r="AL40"/>
  <c r="K41"/>
  <c r="P41" s="1"/>
  <c r="M41"/>
  <c r="N41"/>
  <c r="O41"/>
  <c r="AL41"/>
  <c r="K42"/>
  <c r="P42" s="1"/>
  <c r="M42"/>
  <c r="N42"/>
  <c r="O42"/>
  <c r="AL42"/>
  <c r="E44"/>
  <c r="I46"/>
  <c r="I47"/>
  <c r="M47"/>
  <c r="N47"/>
  <c r="O47"/>
  <c r="P47"/>
  <c r="AJ47"/>
  <c r="AL47"/>
  <c r="BD49" s="1"/>
  <c r="AP47"/>
  <c r="AQ47"/>
  <c r="B47" s="1"/>
  <c r="I48"/>
  <c r="I49"/>
  <c r="I50" s="1"/>
  <c r="T49"/>
  <c r="V49"/>
  <c r="AQ49" s="1"/>
  <c r="B49" s="1"/>
  <c r="X49"/>
  <c r="Z49"/>
  <c r="AB49"/>
  <c r="AD49"/>
  <c r="AF49"/>
  <c r="AH49"/>
  <c r="AJ49"/>
  <c r="AL49"/>
  <c r="AN49"/>
  <c r="AP49"/>
  <c r="AU49"/>
  <c r="T52" s="1"/>
  <c r="AV49"/>
  <c r="AW49"/>
  <c r="X52" s="1"/>
  <c r="AX49"/>
  <c r="AY49"/>
  <c r="AB52" s="1"/>
  <c r="AZ49"/>
  <c r="BA49"/>
  <c r="AF52" s="1"/>
  <c r="BB49"/>
  <c r="BC49"/>
  <c r="BE49"/>
  <c r="AN52" s="1"/>
  <c r="AN111" s="1"/>
  <c r="BF49"/>
  <c r="V52"/>
  <c r="Z52"/>
  <c r="AD52"/>
  <c r="AH52"/>
  <c r="M56"/>
  <c r="N56"/>
  <c r="O56"/>
  <c r="P56"/>
  <c r="AL56"/>
  <c r="AP56"/>
  <c r="AQ56" s="1"/>
  <c r="B56" s="1"/>
  <c r="T58"/>
  <c r="V58"/>
  <c r="X58"/>
  <c r="Z58"/>
  <c r="AB58"/>
  <c r="AD58"/>
  <c r="AF58"/>
  <c r="AH58"/>
  <c r="AJ58"/>
  <c r="AL58"/>
  <c r="AN58"/>
  <c r="M66"/>
  <c r="N66"/>
  <c r="O66"/>
  <c r="P66"/>
  <c r="AJ66"/>
  <c r="AL66" s="1"/>
  <c r="AL68" s="1"/>
  <c r="T68"/>
  <c r="V68"/>
  <c r="X68"/>
  <c r="Z68"/>
  <c r="AB68"/>
  <c r="AD68"/>
  <c r="AD107" s="1"/>
  <c r="AD111" s="1"/>
  <c r="AF68"/>
  <c r="AH68"/>
  <c r="AN68"/>
  <c r="I73"/>
  <c r="I74"/>
  <c r="I75" s="1"/>
  <c r="I76" s="1"/>
  <c r="I77" s="1"/>
  <c r="M74"/>
  <c r="N74"/>
  <c r="O74"/>
  <c r="P74"/>
  <c r="AL74"/>
  <c r="BD76" s="1"/>
  <c r="AP74"/>
  <c r="AQ74"/>
  <c r="B74" s="1"/>
  <c r="R76"/>
  <c r="T76"/>
  <c r="V76"/>
  <c r="AQ76" s="1"/>
  <c r="X76"/>
  <c r="Z76"/>
  <c r="AB76"/>
  <c r="AD76"/>
  <c r="AF76"/>
  <c r="AH76"/>
  <c r="AJ76"/>
  <c r="AL76"/>
  <c r="AN76"/>
  <c r="AP76"/>
  <c r="AU76"/>
  <c r="AV76"/>
  <c r="AW76"/>
  <c r="AX76"/>
  <c r="AY76"/>
  <c r="AZ76"/>
  <c r="BA76"/>
  <c r="BB76"/>
  <c r="BC76"/>
  <c r="BE76"/>
  <c r="BF76"/>
  <c r="I78"/>
  <c r="I79"/>
  <c r="I80"/>
  <c r="I81" s="1"/>
  <c r="I82" s="1"/>
  <c r="I83" s="1"/>
  <c r="M80"/>
  <c r="N80"/>
  <c r="O80"/>
  <c r="P80"/>
  <c r="AL80"/>
  <c r="BD82" s="1"/>
  <c r="AP80"/>
  <c r="AQ80"/>
  <c r="B80" s="1"/>
  <c r="R82"/>
  <c r="T82"/>
  <c r="V82"/>
  <c r="AQ82" s="1"/>
  <c r="X82"/>
  <c r="Z82"/>
  <c r="AB82"/>
  <c r="AD82"/>
  <c r="AF82"/>
  <c r="AH82"/>
  <c r="AJ82"/>
  <c r="AL82"/>
  <c r="AN82"/>
  <c r="AP82"/>
  <c r="AU82"/>
  <c r="AV82"/>
  <c r="AW82"/>
  <c r="AX82"/>
  <c r="AY82"/>
  <c r="AZ82"/>
  <c r="BA82"/>
  <c r="BB82"/>
  <c r="BC82"/>
  <c r="BE82"/>
  <c r="BF82"/>
  <c r="T85"/>
  <c r="AD85"/>
  <c r="AF85"/>
  <c r="AH85"/>
  <c r="AJ85"/>
  <c r="AN85"/>
  <c r="AP85"/>
  <c r="M88"/>
  <c r="N88"/>
  <c r="O88"/>
  <c r="P88"/>
  <c r="AL88"/>
  <c r="AL90" s="1"/>
  <c r="AQ90" s="1"/>
  <c r="AP88"/>
  <c r="AQ88"/>
  <c r="B88" s="1"/>
  <c r="T90"/>
  <c r="V90"/>
  <c r="X90"/>
  <c r="Z90"/>
  <c r="AB90"/>
  <c r="AD90"/>
  <c r="AF90"/>
  <c r="AH90"/>
  <c r="AJ90"/>
  <c r="AN90"/>
  <c r="AP90"/>
  <c r="M93"/>
  <c r="N93"/>
  <c r="O93"/>
  <c r="P93"/>
  <c r="AH93"/>
  <c r="AJ93" s="1"/>
  <c r="AP93"/>
  <c r="K95"/>
  <c r="P95" s="1"/>
  <c r="M95"/>
  <c r="N95"/>
  <c r="O95"/>
  <c r="T98"/>
  <c r="V98"/>
  <c r="X98"/>
  <c r="Z98"/>
  <c r="AB98"/>
  <c r="AD98"/>
  <c r="AF98"/>
  <c r="AN98"/>
  <c r="T100"/>
  <c r="V100"/>
  <c r="X100"/>
  <c r="Z100"/>
  <c r="AB100"/>
  <c r="AD100"/>
  <c r="AF100"/>
  <c r="AH100"/>
  <c r="AJ100"/>
  <c r="AL100"/>
  <c r="AN100"/>
  <c r="AP100"/>
  <c r="AQ100" s="1"/>
  <c r="B100" s="1"/>
  <c r="B101" s="1"/>
  <c r="M103"/>
  <c r="N103"/>
  <c r="O103"/>
  <c r="P103"/>
  <c r="AL103"/>
  <c r="AL105" s="1"/>
  <c r="AQ105" s="1"/>
  <c r="AP103"/>
  <c r="AQ103"/>
  <c r="B103" s="1"/>
  <c r="T105"/>
  <c r="V105"/>
  <c r="X105"/>
  <c r="Z105"/>
  <c r="AB105"/>
  <c r="AD105"/>
  <c r="AF105"/>
  <c r="AH105"/>
  <c r="AJ105"/>
  <c r="AN105"/>
  <c r="AP105"/>
  <c r="T107"/>
  <c r="AF107"/>
  <c r="AN107"/>
  <c r="M117"/>
  <c r="N117"/>
  <c r="O117"/>
  <c r="P117"/>
  <c r="AL117"/>
  <c r="AP117"/>
  <c r="AQ117"/>
  <c r="B117" s="1"/>
  <c r="K118"/>
  <c r="P118" s="1"/>
  <c r="M118"/>
  <c r="N118"/>
  <c r="O118"/>
  <c r="AL118"/>
  <c r="AP118"/>
  <c r="AQ118"/>
  <c r="B118" s="1"/>
  <c r="K119"/>
  <c r="P119" s="1"/>
  <c r="M119"/>
  <c r="N119"/>
  <c r="O119"/>
  <c r="AL119"/>
  <c r="AP119"/>
  <c r="AQ119"/>
  <c r="B119" s="1"/>
  <c r="K120"/>
  <c r="P120" s="1"/>
  <c r="M120"/>
  <c r="N120"/>
  <c r="O120"/>
  <c r="AL120"/>
  <c r="AP120"/>
  <c r="AQ120"/>
  <c r="B120" s="1"/>
  <c r="K121"/>
  <c r="P121" s="1"/>
  <c r="M121"/>
  <c r="N121"/>
  <c r="O121"/>
  <c r="AL121"/>
  <c r="AP121"/>
  <c r="AQ121"/>
  <c r="B121" s="1"/>
  <c r="T123"/>
  <c r="V123"/>
  <c r="AQ123" s="1"/>
  <c r="X123"/>
  <c r="Z123"/>
  <c r="Z126" s="1"/>
  <c r="AB123"/>
  <c r="AD123"/>
  <c r="AD126" s="1"/>
  <c r="AF123"/>
  <c r="AH123"/>
  <c r="AH126" s="1"/>
  <c r="AJ123"/>
  <c r="AL123"/>
  <c r="AL126" s="1"/>
  <c r="AN123"/>
  <c r="AP123"/>
  <c r="M124"/>
  <c r="N124"/>
  <c r="O124"/>
  <c r="T124"/>
  <c r="V124"/>
  <c r="X124"/>
  <c r="Z124"/>
  <c r="AB124"/>
  <c r="AD124"/>
  <c r="AH124"/>
  <c r="AJ124"/>
  <c r="AL124"/>
  <c r="AN124"/>
  <c r="T126"/>
  <c r="X126"/>
  <c r="AB126"/>
  <c r="AJ126"/>
  <c r="AN126"/>
  <c r="AL130"/>
  <c r="AQ130" s="1"/>
  <c r="AD132"/>
  <c r="V133"/>
  <c r="X133"/>
  <c r="Z133"/>
  <c r="AL133"/>
  <c r="R135"/>
  <c r="V135"/>
  <c r="X135"/>
  <c r="Z135"/>
  <c r="V139"/>
  <c r="X139"/>
  <c r="Z139"/>
  <c r="AB139"/>
  <c r="AH139"/>
  <c r="AJ139"/>
  <c r="AL139"/>
  <c r="AN139"/>
  <c r="AP139"/>
  <c r="T140"/>
  <c r="V140"/>
  <c r="X140"/>
  <c r="Z140"/>
  <c r="AB140"/>
  <c r="AD140"/>
  <c r="AF140"/>
  <c r="AH140"/>
  <c r="AJ140"/>
  <c r="AL140"/>
  <c r="AN140"/>
  <c r="AP140"/>
  <c r="T141"/>
  <c r="AF141"/>
  <c r="AH141"/>
  <c r="AJ141"/>
  <c r="AL141"/>
  <c r="AN141"/>
  <c r="AP141"/>
  <c r="B148"/>
  <c r="B147" s="1"/>
  <c r="B146" s="1"/>
  <c r="B145" s="1"/>
  <c r="B144" s="1"/>
  <c r="B143" s="1"/>
  <c r="B142" s="1"/>
  <c r="B141" s="1"/>
  <c r="B140" s="1"/>
  <c r="B139" s="1"/>
  <c r="B138" s="1"/>
  <c r="B137" s="1"/>
  <c r="B136" s="1"/>
  <c r="V148"/>
  <c r="X148"/>
  <c r="Z148"/>
  <c r="AB148"/>
  <c r="AD148"/>
  <c r="AF148"/>
  <c r="AH148"/>
  <c r="AN148"/>
  <c r="AD154"/>
  <c r="AD31" s="1"/>
  <c r="AD139" s="1"/>
  <c r="AF154"/>
  <c r="AF31" s="1"/>
  <c r="AF139" s="1"/>
  <c r="B155"/>
  <c r="B156"/>
  <c r="B157" s="1"/>
  <c r="B158"/>
  <c r="B159" s="1"/>
  <c r="Z158"/>
  <c r="Z159"/>
  <c r="B160"/>
  <c r="B161" s="1"/>
  <c r="B162" s="1"/>
  <c r="B163" s="1"/>
  <c r="B164" s="1"/>
  <c r="Z160"/>
  <c r="P161"/>
  <c r="Z161"/>
  <c r="P162"/>
  <c r="P163" s="1"/>
  <c r="Z162"/>
  <c r="Z163"/>
  <c r="G13" i="14"/>
  <c r="H13"/>
  <c r="C14"/>
  <c r="C15"/>
  <c r="H15"/>
  <c r="C16"/>
  <c r="C17" s="1"/>
  <c r="C18" s="1"/>
  <c r="H17"/>
  <c r="C19"/>
  <c r="H19"/>
  <c r="C20"/>
  <c r="C21" s="1"/>
  <c r="C22" s="1"/>
  <c r="H21"/>
  <c r="C23"/>
  <c r="H23"/>
  <c r="C24"/>
  <c r="C25" s="1"/>
  <c r="C26" s="1"/>
  <c r="H25"/>
  <c r="C27"/>
  <c r="H27"/>
  <c r="C28"/>
  <c r="C29" s="1"/>
  <c r="C30" s="1"/>
  <c r="H29"/>
  <c r="C31"/>
  <c r="H31"/>
  <c r="C32"/>
  <c r="C33" s="1"/>
  <c r="C34" s="1"/>
  <c r="H33"/>
  <c r="C35"/>
  <c r="H35"/>
  <c r="C36"/>
  <c r="C37" s="1"/>
  <c r="C38" s="1"/>
  <c r="H37"/>
  <c r="C39"/>
  <c r="H39"/>
  <c r="C40"/>
  <c r="C41" s="1"/>
  <c r="C42" s="1"/>
  <c r="H41"/>
  <c r="C43"/>
  <c r="H43"/>
  <c r="C44"/>
  <c r="C45" s="1"/>
  <c r="H45"/>
  <c r="D47"/>
  <c r="F47"/>
  <c r="G47"/>
  <c r="H47"/>
  <c r="J10" i="16"/>
  <c r="H11"/>
  <c r="J11"/>
  <c r="C12"/>
  <c r="F12"/>
  <c r="C13"/>
  <c r="F13"/>
  <c r="J13"/>
  <c r="C14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F14"/>
  <c r="F15"/>
  <c r="J15" s="1"/>
  <c r="F16"/>
  <c r="F17" s="1"/>
  <c r="F18" s="1"/>
  <c r="J19"/>
  <c r="F20"/>
  <c r="F21"/>
  <c r="J21" s="1"/>
  <c r="F22"/>
  <c r="F23" s="1"/>
  <c r="F24" s="1"/>
  <c r="F25"/>
  <c r="J25" s="1"/>
  <c r="J33"/>
  <c r="F35"/>
  <c r="J35"/>
  <c r="F36"/>
  <c r="F37"/>
  <c r="J37" s="1"/>
  <c r="D55"/>
  <c r="N8" i="8"/>
  <c r="H8" s="1"/>
  <c r="K8" s="1"/>
  <c r="O8"/>
  <c r="I8" s="1"/>
  <c r="L8" s="1"/>
  <c r="J12"/>
  <c r="O12"/>
  <c r="W12"/>
  <c r="Y12"/>
  <c r="Z12" s="1"/>
  <c r="AD12"/>
  <c r="AF12"/>
  <c r="AJ12"/>
  <c r="AK12"/>
  <c r="J13"/>
  <c r="O13"/>
  <c r="T13"/>
  <c r="Y13"/>
  <c r="AD13"/>
  <c r="AF13"/>
  <c r="AJ13"/>
  <c r="AK13"/>
  <c r="J14"/>
  <c r="O14"/>
  <c r="T14"/>
  <c r="W13" s="1"/>
  <c r="AD14"/>
  <c r="AF14"/>
  <c r="AJ14"/>
  <c r="AK14"/>
  <c r="J15"/>
  <c r="O15"/>
  <c r="T15"/>
  <c r="W14" s="1"/>
  <c r="Y14" s="1"/>
  <c r="Y15"/>
  <c r="AD15"/>
  <c r="AF15"/>
  <c r="AJ15"/>
  <c r="AK15"/>
  <c r="J16"/>
  <c r="O16"/>
  <c r="T16"/>
  <c r="W15" s="1"/>
  <c r="AD16"/>
  <c r="AF16"/>
  <c r="AJ16"/>
  <c r="AK16"/>
  <c r="J17"/>
  <c r="O17"/>
  <c r="T17"/>
  <c r="W16" s="1"/>
  <c r="Y16" s="1"/>
  <c r="W17"/>
  <c r="Y17"/>
  <c r="Z17" s="1"/>
  <c r="AD17"/>
  <c r="AF17"/>
  <c r="AJ17"/>
  <c r="AK17"/>
  <c r="D18"/>
  <c r="J18"/>
  <c r="O18"/>
  <c r="T18"/>
  <c r="AD18"/>
  <c r="AF18" s="1"/>
  <c r="AJ18"/>
  <c r="AK18" s="1"/>
  <c r="D19"/>
  <c r="T19" s="1"/>
  <c r="J19"/>
  <c r="O19"/>
  <c r="AD19"/>
  <c r="AF19"/>
  <c r="AJ19"/>
  <c r="AK19"/>
  <c r="D20"/>
  <c r="J20"/>
  <c r="O20"/>
  <c r="T20"/>
  <c r="AD20"/>
  <c r="AF20" s="1"/>
  <c r="AJ20"/>
  <c r="AK20" s="1"/>
  <c r="D21"/>
  <c r="T21" s="1"/>
  <c r="W21" s="1"/>
  <c r="Y21" s="1"/>
  <c r="J21"/>
  <c r="O21"/>
  <c r="AD21"/>
  <c r="AF21"/>
  <c r="AJ21"/>
  <c r="AK21"/>
  <c r="D22"/>
  <c r="J22"/>
  <c r="O22"/>
  <c r="T22"/>
  <c r="W22"/>
  <c r="Y22" s="1"/>
  <c r="AD22"/>
  <c r="AF22" s="1"/>
  <c r="AJ22"/>
  <c r="AK22" s="1"/>
  <c r="D23"/>
  <c r="T23" s="1"/>
  <c r="J23"/>
  <c r="O23"/>
  <c r="AD23"/>
  <c r="AF23" s="1"/>
  <c r="AJ23"/>
  <c r="AK23" s="1"/>
  <c r="D24"/>
  <c r="T24" s="1"/>
  <c r="J24"/>
  <c r="O24"/>
  <c r="AD24"/>
  <c r="AF24"/>
  <c r="AJ24"/>
  <c r="AK24"/>
  <c r="D25"/>
  <c r="J25"/>
  <c r="O25"/>
  <c r="T25"/>
  <c r="AD25"/>
  <c r="AF25" s="1"/>
  <c r="AJ25"/>
  <c r="AK25" s="1"/>
  <c r="D26"/>
  <c r="T26" s="1"/>
  <c r="J26"/>
  <c r="O26"/>
  <c r="AD26"/>
  <c r="AF26"/>
  <c r="AJ26"/>
  <c r="AK26"/>
  <c r="D27"/>
  <c r="J27"/>
  <c r="O27"/>
  <c r="T27"/>
  <c r="AD27"/>
  <c r="AF27" s="1"/>
  <c r="AJ27"/>
  <c r="AK27" s="1"/>
  <c r="D28"/>
  <c r="T28" s="1"/>
  <c r="J28"/>
  <c r="O28"/>
  <c r="AD28"/>
  <c r="AF28"/>
  <c r="AJ28"/>
  <c r="AK28"/>
  <c r="D29"/>
  <c r="J29"/>
  <c r="O29"/>
  <c r="T29"/>
  <c r="AD29"/>
  <c r="AF29" s="1"/>
  <c r="AJ29"/>
  <c r="AK29" s="1"/>
  <c r="D30"/>
  <c r="T30" s="1"/>
  <c r="J30"/>
  <c r="O30"/>
  <c r="AD30"/>
  <c r="AF30"/>
  <c r="AJ30"/>
  <c r="AK30"/>
  <c r="J31"/>
  <c r="O31"/>
  <c r="W31"/>
  <c r="Y31" s="1"/>
  <c r="Z31" s="1"/>
  <c r="AD31"/>
  <c r="AF31" s="1"/>
  <c r="AJ31"/>
  <c r="AK31" s="1"/>
  <c r="J32"/>
  <c r="O32"/>
  <c r="W32"/>
  <c r="Y32"/>
  <c r="Z32" s="1"/>
  <c r="AD32"/>
  <c r="AF32"/>
  <c r="AJ32"/>
  <c r="AK32"/>
  <c r="D33"/>
  <c r="J33"/>
  <c r="O33"/>
  <c r="T33"/>
  <c r="AD33"/>
  <c r="AF33" s="1"/>
  <c r="AJ33"/>
  <c r="AK33" s="1"/>
  <c r="D34"/>
  <c r="T34" s="1"/>
  <c r="J34"/>
  <c r="O34"/>
  <c r="AD34"/>
  <c r="AF34"/>
  <c r="AJ34"/>
  <c r="AK34"/>
  <c r="D35"/>
  <c r="J35"/>
  <c r="O35"/>
  <c r="T35"/>
  <c r="AD35"/>
  <c r="AF35" s="1"/>
  <c r="AJ35"/>
  <c r="AK35" s="1"/>
  <c r="J36"/>
  <c r="O36"/>
  <c r="T36"/>
  <c r="AD36"/>
  <c r="AF36" s="1"/>
  <c r="AJ36"/>
  <c r="AK36" s="1"/>
  <c r="J37"/>
  <c r="O37"/>
  <c r="T37"/>
  <c r="W36" s="1"/>
  <c r="AD37"/>
  <c r="AF37"/>
  <c r="AJ37"/>
  <c r="AK37"/>
  <c r="J38"/>
  <c r="O38"/>
  <c r="T38"/>
  <c r="AD38"/>
  <c r="AF38" s="1"/>
  <c r="AJ38"/>
  <c r="AK38" s="1"/>
  <c r="J39"/>
  <c r="O39"/>
  <c r="T39"/>
  <c r="W37" s="1"/>
  <c r="Z37" s="1"/>
  <c r="W39"/>
  <c r="Z39" s="1"/>
  <c r="AD39"/>
  <c r="AF39"/>
  <c r="AJ39"/>
  <c r="AK39"/>
  <c r="O40"/>
  <c r="Q40"/>
  <c r="AD40" s="1"/>
  <c r="Y40"/>
  <c r="M41"/>
  <c r="O41"/>
  <c r="R41"/>
  <c r="Y41"/>
  <c r="Z41"/>
  <c r="AA41" s="1"/>
  <c r="AE41"/>
  <c r="AF41"/>
  <c r="AH41"/>
  <c r="AI41"/>
  <c r="M42"/>
  <c r="N42"/>
  <c r="O42"/>
  <c r="P42"/>
  <c r="Y42"/>
  <c r="Z42"/>
  <c r="AE42"/>
  <c r="O44"/>
  <c r="R44"/>
  <c r="Y44"/>
  <c r="Z44"/>
  <c r="AD44"/>
  <c r="AF44"/>
  <c r="AH44"/>
  <c r="O46"/>
  <c r="S46"/>
  <c r="T46"/>
  <c r="AE46"/>
  <c r="AF46"/>
  <c r="O47"/>
  <c r="T47"/>
  <c r="W46" s="1"/>
  <c r="AE47"/>
  <c r="AF47"/>
  <c r="O48"/>
  <c r="T48"/>
  <c r="W47" s="1"/>
  <c r="W48"/>
  <c r="Y48" s="1"/>
  <c r="Z48" s="1"/>
  <c r="AA48" s="1"/>
  <c r="AE48"/>
  <c r="AF48"/>
  <c r="M49"/>
  <c r="O49"/>
  <c r="S49"/>
  <c r="R49" s="1"/>
  <c r="AE49" s="1"/>
  <c r="Y49"/>
  <c r="M50"/>
  <c r="O50"/>
  <c r="R50"/>
  <c r="Y50"/>
  <c r="Z50"/>
  <c r="AA50"/>
  <c r="AE50"/>
  <c r="AF50" s="1"/>
  <c r="Q52"/>
  <c r="X52"/>
  <c r="AE56"/>
  <c r="S57"/>
  <c r="S40" s="1"/>
  <c r="AD57"/>
  <c r="AD115"/>
  <c r="AE115"/>
  <c r="AD119"/>
  <c r="AE119"/>
  <c r="O7" i="37"/>
  <c r="I7" s="1"/>
  <c r="L7" s="1"/>
  <c r="P7"/>
  <c r="J7" s="1"/>
  <c r="M7" s="1"/>
  <c r="K11"/>
  <c r="P11"/>
  <c r="W11"/>
  <c r="AB11"/>
  <c r="K12"/>
  <c r="P12"/>
  <c r="U12"/>
  <c r="AB12"/>
  <c r="K13"/>
  <c r="P13"/>
  <c r="U13"/>
  <c r="W12" s="1"/>
  <c r="AB13"/>
  <c r="K14"/>
  <c r="P14"/>
  <c r="U14"/>
  <c r="AB14"/>
  <c r="K15"/>
  <c r="P15"/>
  <c r="U15"/>
  <c r="W13" s="1"/>
  <c r="W15"/>
  <c r="AB15"/>
  <c r="K16"/>
  <c r="P16"/>
  <c r="U16"/>
  <c r="AB16"/>
  <c r="E17"/>
  <c r="U17" s="1"/>
  <c r="K17"/>
  <c r="P17"/>
  <c r="AB17"/>
  <c r="E18"/>
  <c r="U18" s="1"/>
  <c r="K18"/>
  <c r="P18"/>
  <c r="AB18"/>
  <c r="E19"/>
  <c r="U19" s="1"/>
  <c r="K19"/>
  <c r="P19"/>
  <c r="AB19"/>
  <c r="E20"/>
  <c r="U20" s="1"/>
  <c r="K20"/>
  <c r="P20"/>
  <c r="AB20"/>
  <c r="E21"/>
  <c r="U21" s="1"/>
  <c r="K21"/>
  <c r="P21"/>
  <c r="AB21"/>
  <c r="E22"/>
  <c r="U22" s="1"/>
  <c r="K22"/>
  <c r="P22"/>
  <c r="AB22"/>
  <c r="E23"/>
  <c r="U23" s="1"/>
  <c r="K23"/>
  <c r="P23"/>
  <c r="AB23"/>
  <c r="E24"/>
  <c r="U24" s="1"/>
  <c r="K24"/>
  <c r="P24"/>
  <c r="AB24"/>
  <c r="E25"/>
  <c r="U25" s="1"/>
  <c r="K25"/>
  <c r="P25"/>
  <c r="AB25"/>
  <c r="E26"/>
  <c r="U26" s="1"/>
  <c r="K26"/>
  <c r="P26"/>
  <c r="AB26"/>
  <c r="E27"/>
  <c r="U27" s="1"/>
  <c r="K27"/>
  <c r="P27"/>
  <c r="AB27"/>
  <c r="E28"/>
  <c r="U28" s="1"/>
  <c r="K28"/>
  <c r="P28"/>
  <c r="AB28"/>
  <c r="E29"/>
  <c r="U29" s="1"/>
  <c r="K29"/>
  <c r="P29"/>
  <c r="AB29"/>
  <c r="K30"/>
  <c r="P30"/>
  <c r="W30"/>
  <c r="AB30"/>
  <c r="K31"/>
  <c r="P31"/>
  <c r="W31"/>
  <c r="AB31"/>
  <c r="E32"/>
  <c r="U32" s="1"/>
  <c r="K32"/>
  <c r="P32"/>
  <c r="AB32"/>
  <c r="E33"/>
  <c r="U33" s="1"/>
  <c r="K33"/>
  <c r="P33"/>
  <c r="AB33"/>
  <c r="E34"/>
  <c r="U34" s="1"/>
  <c r="K34"/>
  <c r="P34"/>
  <c r="AB34"/>
  <c r="K35"/>
  <c r="P35"/>
  <c r="U35"/>
  <c r="AB35"/>
  <c r="K36"/>
  <c r="P36"/>
  <c r="U36"/>
  <c r="AB36"/>
  <c r="K37"/>
  <c r="P37"/>
  <c r="U37"/>
  <c r="W35" s="1"/>
  <c r="W37"/>
  <c r="AB37"/>
  <c r="K38"/>
  <c r="P38"/>
  <c r="U38"/>
  <c r="AB38"/>
  <c r="P39"/>
  <c r="R39"/>
  <c r="AB39"/>
  <c r="R40"/>
  <c r="R41"/>
  <c r="R42"/>
  <c r="N43"/>
  <c r="P43"/>
  <c r="AC43"/>
  <c r="N44"/>
  <c r="O44"/>
  <c r="P44"/>
  <c r="Q44"/>
  <c r="AC44"/>
  <c r="P46"/>
  <c r="AB46"/>
  <c r="I47"/>
  <c r="L47"/>
  <c r="L40" s="1"/>
  <c r="AC40" s="1"/>
  <c r="I48"/>
  <c r="L48"/>
  <c r="L41" s="1"/>
  <c r="AC41" s="1"/>
  <c r="I49"/>
  <c r="L49"/>
  <c r="L42" s="1"/>
  <c r="AC42" s="1"/>
  <c r="N50"/>
  <c r="P50"/>
  <c r="S50"/>
  <c r="T50"/>
  <c r="AC50"/>
  <c r="N51"/>
  <c r="P51"/>
  <c r="S51"/>
  <c r="AC51"/>
  <c r="S53"/>
  <c r="Y53"/>
  <c r="AB53"/>
  <c r="O57"/>
  <c r="I57" s="1"/>
  <c r="L57" s="1"/>
  <c r="P57"/>
  <c r="J57" s="1"/>
  <c r="M57" s="1"/>
  <c r="P59"/>
  <c r="T59"/>
  <c r="U59"/>
  <c r="AB59"/>
  <c r="P60"/>
  <c r="U60"/>
  <c r="W60"/>
  <c r="AB60"/>
  <c r="AB61" s="1"/>
  <c r="P61"/>
  <c r="U61"/>
  <c r="AC65"/>
  <c r="K66"/>
  <c r="R47" s="1"/>
  <c r="K67"/>
  <c r="R48" s="1"/>
  <c r="L67"/>
  <c r="K68"/>
  <c r="R49" s="1"/>
  <c r="L68"/>
  <c r="N68"/>
  <c r="T39" s="1"/>
  <c r="P7" i="18"/>
  <c r="J7" s="1"/>
  <c r="M7" s="1"/>
  <c r="Q7"/>
  <c r="K7" s="1"/>
  <c r="N7" s="1"/>
  <c r="L11"/>
  <c r="Q11"/>
  <c r="Y11"/>
  <c r="AA11" s="1"/>
  <c r="AF11"/>
  <c r="AH11" s="1"/>
  <c r="AL11"/>
  <c r="AM11" s="1"/>
  <c r="L12"/>
  <c r="Q12"/>
  <c r="V12"/>
  <c r="AF12"/>
  <c r="AH12" s="1"/>
  <c r="AL12"/>
  <c r="AM12" s="1"/>
  <c r="L13"/>
  <c r="Q13"/>
  <c r="V13"/>
  <c r="Y12" s="1"/>
  <c r="AF13"/>
  <c r="AH13" s="1"/>
  <c r="AL13"/>
  <c r="AM13" s="1"/>
  <c r="L14"/>
  <c r="Q14"/>
  <c r="V14"/>
  <c r="Y13" s="1"/>
  <c r="AF14"/>
  <c r="AH14" s="1"/>
  <c r="AL14"/>
  <c r="AM14" s="1"/>
  <c r="L15"/>
  <c r="Q15"/>
  <c r="V15"/>
  <c r="Y14" s="1"/>
  <c r="AF15"/>
  <c r="AH15" s="1"/>
  <c r="AL15"/>
  <c r="AM15" s="1"/>
  <c r="L16"/>
  <c r="Q16"/>
  <c r="V16"/>
  <c r="Y15" s="1"/>
  <c r="Y16"/>
  <c r="AA16" s="1"/>
  <c r="AB16" s="1"/>
  <c r="AF16"/>
  <c r="AH16" s="1"/>
  <c r="AL16"/>
  <c r="AM16" s="1"/>
  <c r="F17"/>
  <c r="V17" s="1"/>
  <c r="L17"/>
  <c r="Q17"/>
  <c r="AF17"/>
  <c r="AH17"/>
  <c r="AL17"/>
  <c r="AM17"/>
  <c r="F18"/>
  <c r="L18"/>
  <c r="Q18"/>
  <c r="V18"/>
  <c r="AF18"/>
  <c r="AH18" s="1"/>
  <c r="AL18"/>
  <c r="AM18" s="1"/>
  <c r="F19"/>
  <c r="V19" s="1"/>
  <c r="L19"/>
  <c r="Q19"/>
  <c r="AF19"/>
  <c r="AH19"/>
  <c r="AL19"/>
  <c r="AM19"/>
  <c r="F20"/>
  <c r="L20"/>
  <c r="Q20"/>
  <c r="V20"/>
  <c r="AF20"/>
  <c r="AH20" s="1"/>
  <c r="AL20"/>
  <c r="AM20" s="1"/>
  <c r="F21"/>
  <c r="V21" s="1"/>
  <c r="L21"/>
  <c r="Q21"/>
  <c r="AF21"/>
  <c r="AH21"/>
  <c r="AL21"/>
  <c r="AM21"/>
  <c r="L22"/>
  <c r="Q22"/>
  <c r="AF22"/>
  <c r="AH22" s="1"/>
  <c r="AL22"/>
  <c r="AM22" s="1"/>
  <c r="F23"/>
  <c r="V23" s="1"/>
  <c r="L23"/>
  <c r="Q23"/>
  <c r="AF23"/>
  <c r="AH23"/>
  <c r="AL23"/>
  <c r="AM23"/>
  <c r="L24"/>
  <c r="Q24"/>
  <c r="AF24"/>
  <c r="AH24" s="1"/>
  <c r="AL24"/>
  <c r="AM24" s="1"/>
  <c r="F25"/>
  <c r="V25" s="1"/>
  <c r="L25"/>
  <c r="Q25"/>
  <c r="AF25"/>
  <c r="AH25"/>
  <c r="AL25"/>
  <c r="AM25"/>
  <c r="L26"/>
  <c r="Q26"/>
  <c r="AF26"/>
  <c r="AH26" s="1"/>
  <c r="AL26"/>
  <c r="AM26" s="1"/>
  <c r="L27"/>
  <c r="Q27"/>
  <c r="AF27"/>
  <c r="AH27"/>
  <c r="AL27"/>
  <c r="AM27"/>
  <c r="L28"/>
  <c r="Q28"/>
  <c r="AF28"/>
  <c r="AH28" s="1"/>
  <c r="AL28"/>
  <c r="AM28" s="1"/>
  <c r="L29"/>
  <c r="Q29"/>
  <c r="AF29"/>
  <c r="AH29"/>
  <c r="AL29"/>
  <c r="AM29"/>
  <c r="L30"/>
  <c r="Q30"/>
  <c r="Y30"/>
  <c r="AA30" s="1"/>
  <c r="AB30" s="1"/>
  <c r="AF30"/>
  <c r="AH30" s="1"/>
  <c r="AL30"/>
  <c r="AM30" s="1"/>
  <c r="L31"/>
  <c r="Q31"/>
  <c r="Y31"/>
  <c r="AA31"/>
  <c r="AB31" s="1"/>
  <c r="AF31"/>
  <c r="AH31"/>
  <c r="AL31"/>
  <c r="AM31"/>
  <c r="F32"/>
  <c r="L32"/>
  <c r="Q32"/>
  <c r="V32"/>
  <c r="AF32"/>
  <c r="AH32" s="1"/>
  <c r="AL32"/>
  <c r="AM32" s="1"/>
  <c r="F33"/>
  <c r="V33" s="1"/>
  <c r="L33"/>
  <c r="Q33"/>
  <c r="AF33"/>
  <c r="AH33"/>
  <c r="AL33"/>
  <c r="AM33"/>
  <c r="F34"/>
  <c r="L34"/>
  <c r="Q34"/>
  <c r="V34"/>
  <c r="AF34"/>
  <c r="AH34" s="1"/>
  <c r="AL34"/>
  <c r="AM34" s="1"/>
  <c r="L35"/>
  <c r="Q35"/>
  <c r="V35"/>
  <c r="AF35"/>
  <c r="AH35" s="1"/>
  <c r="AL35"/>
  <c r="AM35" s="1"/>
  <c r="L36"/>
  <c r="Q36"/>
  <c r="V36"/>
  <c r="Y35" s="1"/>
  <c r="AF36"/>
  <c r="AH36"/>
  <c r="AL36"/>
  <c r="AM36"/>
  <c r="L37"/>
  <c r="Q37"/>
  <c r="V37"/>
  <c r="AF37"/>
  <c r="AH37" s="1"/>
  <c r="AL37"/>
  <c r="AM37" s="1"/>
  <c r="L38"/>
  <c r="Q38"/>
  <c r="V38"/>
  <c r="Y36" s="1"/>
  <c r="AB36" s="1"/>
  <c r="Y38"/>
  <c r="AB38" s="1"/>
  <c r="AF38"/>
  <c r="AH38"/>
  <c r="AL38"/>
  <c r="AM38"/>
  <c r="Q39"/>
  <c r="S39"/>
  <c r="AF39" s="1"/>
  <c r="AA39"/>
  <c r="M40"/>
  <c r="S40"/>
  <c r="AG40"/>
  <c r="S41"/>
  <c r="M42"/>
  <c r="S42"/>
  <c r="AG42"/>
  <c r="O43"/>
  <c r="Q43"/>
  <c r="T43"/>
  <c r="AA43"/>
  <c r="AB43"/>
  <c r="AC43"/>
  <c r="AG43"/>
  <c r="AH43" s="1"/>
  <c r="AJ43"/>
  <c r="AK43"/>
  <c r="AL43"/>
  <c r="O44"/>
  <c r="P44"/>
  <c r="Q44"/>
  <c r="R44" s="1"/>
  <c r="AA44"/>
  <c r="AB44"/>
  <c r="AG44"/>
  <c r="Q46"/>
  <c r="T46"/>
  <c r="AA46"/>
  <c r="AB46"/>
  <c r="AF46"/>
  <c r="AH46"/>
  <c r="J47"/>
  <c r="M47"/>
  <c r="J48"/>
  <c r="M48"/>
  <c r="M41" s="1"/>
  <c r="AG41" s="1"/>
  <c r="J49"/>
  <c r="M49"/>
  <c r="Q50"/>
  <c r="U50"/>
  <c r="V50"/>
  <c r="Q51"/>
  <c r="V51"/>
  <c r="Q52"/>
  <c r="V52"/>
  <c r="Y50" s="1"/>
  <c r="Y52"/>
  <c r="AA52" s="1"/>
  <c r="AB52" s="1"/>
  <c r="AC52" s="1"/>
  <c r="O53"/>
  <c r="Q53"/>
  <c r="T53"/>
  <c r="AG53" s="1"/>
  <c r="AH53" s="1"/>
  <c r="U53"/>
  <c r="AA53"/>
  <c r="AB53"/>
  <c r="AC53" s="1"/>
  <c r="O54"/>
  <c r="Q54"/>
  <c r="T54"/>
  <c r="AA54"/>
  <c r="AB54"/>
  <c r="AC54" s="1"/>
  <c r="AG54"/>
  <c r="AH54"/>
  <c r="Z56"/>
  <c r="H61"/>
  <c r="S47" s="1"/>
  <c r="U61"/>
  <c r="U39" s="1"/>
  <c r="AF61"/>
  <c r="AP41" i="13" s="1"/>
  <c r="AQ41" s="1"/>
  <c r="B41" s="1"/>
  <c r="H62" i="18"/>
  <c r="S48" s="1"/>
  <c r="H63"/>
  <c r="S49" s="1"/>
  <c r="AG67"/>
  <c r="AF119"/>
  <c r="AG119"/>
  <c r="AF123"/>
  <c r="AG123"/>
  <c r="G1" i="19"/>
  <c r="H1"/>
  <c r="I3"/>
  <c r="C4"/>
  <c r="C5"/>
  <c r="C9" s="1"/>
  <c r="D6"/>
  <c r="C7"/>
  <c r="D7"/>
  <c r="C8"/>
  <c r="D9"/>
  <c r="N10"/>
  <c r="C11"/>
  <c r="C12"/>
  <c r="C6" s="1"/>
  <c r="P15"/>
  <c r="Q10" s="1"/>
  <c r="S15"/>
  <c r="T10" s="1"/>
  <c r="V15"/>
  <c r="W10" s="1"/>
  <c r="Y15"/>
  <c r="Z10" s="1"/>
  <c r="M16"/>
  <c r="S16"/>
  <c r="Y16"/>
  <c r="AC21"/>
  <c r="AD21"/>
  <c r="AC22"/>
  <c r="AD22"/>
  <c r="B22" s="1"/>
  <c r="B23"/>
  <c r="G23"/>
  <c r="AC23"/>
  <c r="AD23"/>
  <c r="B24"/>
  <c r="G24"/>
  <c r="AC24"/>
  <c r="AD24"/>
  <c r="B25"/>
  <c r="G25"/>
  <c r="AC25"/>
  <c r="AD25"/>
  <c r="B26"/>
  <c r="G26"/>
  <c r="AC26"/>
  <c r="AD26"/>
  <c r="B27"/>
  <c r="G27"/>
  <c r="AC27"/>
  <c r="AD27"/>
  <c r="B28"/>
  <c r="G28"/>
  <c r="AC28"/>
  <c r="AD28"/>
  <c r="B29"/>
  <c r="G29"/>
  <c r="AC29"/>
  <c r="AD29"/>
  <c r="B30"/>
  <c r="G30"/>
  <c r="AC30"/>
  <c r="AD30"/>
  <c r="B31"/>
  <c r="G31"/>
  <c r="AC31"/>
  <c r="AD31"/>
  <c r="AC33"/>
  <c r="AD33"/>
  <c r="G34"/>
  <c r="AC34"/>
  <c r="AD34"/>
  <c r="G35"/>
  <c r="AC35"/>
  <c r="AD35"/>
  <c r="G36"/>
  <c r="AC36"/>
  <c r="AD36"/>
  <c r="G37"/>
  <c r="AC37"/>
  <c r="AD37"/>
  <c r="G38"/>
  <c r="AC38"/>
  <c r="AD38"/>
  <c r="G39"/>
  <c r="AC39"/>
  <c r="AD39"/>
  <c r="G40"/>
  <c r="AC40"/>
  <c r="AD40"/>
  <c r="G41"/>
  <c r="AC41"/>
  <c r="AD41"/>
  <c r="G42"/>
  <c r="AC42"/>
  <c r="AD42"/>
  <c r="N44"/>
  <c r="Q44"/>
  <c r="AC44" s="1"/>
  <c r="T44"/>
  <c r="W44"/>
  <c r="W45" s="1"/>
  <c r="W69" s="1"/>
  <c r="W81" s="1"/>
  <c r="Z44"/>
  <c r="AB44"/>
  <c r="AD44"/>
  <c r="N45"/>
  <c r="T45"/>
  <c r="T69" s="1"/>
  <c r="T81" s="1"/>
  <c r="Z45"/>
  <c r="Z69" s="1"/>
  <c r="Z81" s="1"/>
  <c r="AC47"/>
  <c r="B46" s="1"/>
  <c r="AD47"/>
  <c r="B47" s="1"/>
  <c r="AC49"/>
  <c r="B48" s="1"/>
  <c r="AD49"/>
  <c r="B49" s="1"/>
  <c r="G50"/>
  <c r="AC50"/>
  <c r="AD50"/>
  <c r="B50" s="1"/>
  <c r="G51"/>
  <c r="AC51"/>
  <c r="AD51"/>
  <c r="B51" s="1"/>
  <c r="G52"/>
  <c r="AC52"/>
  <c r="AD52"/>
  <c r="B52" s="1"/>
  <c r="G53"/>
  <c r="AC53"/>
  <c r="AD53"/>
  <c r="B53" s="1"/>
  <c r="G54"/>
  <c r="AC54"/>
  <c r="AD54"/>
  <c r="B54" s="1"/>
  <c r="AC56"/>
  <c r="AD56"/>
  <c r="B56" s="1"/>
  <c r="B57"/>
  <c r="G57"/>
  <c r="AC57"/>
  <c r="AD57"/>
  <c r="B58"/>
  <c r="G58"/>
  <c r="AC58"/>
  <c r="AD58"/>
  <c r="B59"/>
  <c r="G59"/>
  <c r="AC59"/>
  <c r="AD59"/>
  <c r="B60"/>
  <c r="G60"/>
  <c r="AC60"/>
  <c r="AD60"/>
  <c r="B61"/>
  <c r="G61"/>
  <c r="AC61"/>
  <c r="AD61"/>
  <c r="B62"/>
  <c r="G62"/>
  <c r="AC62"/>
  <c r="AD62"/>
  <c r="AC64"/>
  <c r="AD64"/>
  <c r="B64" s="1"/>
  <c r="G65"/>
  <c r="AC65"/>
  <c r="AD65"/>
  <c r="B65" s="1"/>
  <c r="G66"/>
  <c r="AC66"/>
  <c r="AD66"/>
  <c r="B66" s="1"/>
  <c r="G67"/>
  <c r="AC67"/>
  <c r="AD67"/>
  <c r="B67" s="1"/>
  <c r="B72"/>
  <c r="AC73"/>
  <c r="AD73"/>
  <c r="B73" s="1"/>
  <c r="AC76"/>
  <c r="AD76"/>
  <c r="B76" s="1"/>
  <c r="G77"/>
  <c r="AC77"/>
  <c r="AD77"/>
  <c r="B77" s="1"/>
  <c r="N79"/>
  <c r="Q79"/>
  <c r="AD79" s="1"/>
  <c r="T79"/>
  <c r="W79"/>
  <c r="Z79"/>
  <c r="AC79"/>
  <c r="AC89"/>
  <c r="AD89"/>
  <c r="AC90"/>
  <c r="AD90"/>
  <c r="B90" s="1"/>
  <c r="B91"/>
  <c r="G91"/>
  <c r="AC91"/>
  <c r="AD91"/>
  <c r="B92"/>
  <c r="G92"/>
  <c r="AC92"/>
  <c r="AD92"/>
  <c r="B93"/>
  <c r="G93"/>
  <c r="AC93"/>
  <c r="AD93"/>
  <c r="B94"/>
  <c r="G94"/>
  <c r="AC94"/>
  <c r="AD94"/>
  <c r="B95"/>
  <c r="G95"/>
  <c r="AC95"/>
  <c r="AD95"/>
  <c r="B96"/>
  <c r="G96"/>
  <c r="AC96"/>
  <c r="AD96"/>
  <c r="B97"/>
  <c r="G97"/>
  <c r="AC97"/>
  <c r="AD97"/>
  <c r="N98"/>
  <c r="Q98"/>
  <c r="AD98" s="1"/>
  <c r="B98" s="1"/>
  <c r="T98"/>
  <c r="W98"/>
  <c r="W100" s="1"/>
  <c r="W107" s="1"/>
  <c r="Z98"/>
  <c r="AC98"/>
  <c r="N100"/>
  <c r="T100"/>
  <c r="Z100"/>
  <c r="AC103"/>
  <c r="AD103"/>
  <c r="B103" s="1"/>
  <c r="N105"/>
  <c r="AC105" s="1"/>
  <c r="Q105"/>
  <c r="T105"/>
  <c r="T107" s="1"/>
  <c r="W105"/>
  <c r="Z105"/>
  <c r="Z107" s="1"/>
  <c r="AD105"/>
  <c r="M113"/>
  <c r="N113" s="1"/>
  <c r="S113"/>
  <c r="Y113"/>
  <c r="M114"/>
  <c r="N114"/>
  <c r="S114"/>
  <c r="T114"/>
  <c r="Y114"/>
  <c r="Z114"/>
  <c r="M115"/>
  <c r="N115" s="1"/>
  <c r="S115"/>
  <c r="T115" s="1"/>
  <c r="Y115"/>
  <c r="Z115" s="1"/>
  <c r="M116"/>
  <c r="S116"/>
  <c r="Y116"/>
  <c r="G117"/>
  <c r="M117"/>
  <c r="S117"/>
  <c r="Y117"/>
  <c r="G118"/>
  <c r="M118"/>
  <c r="S118"/>
  <c r="Y118"/>
  <c r="G119"/>
  <c r="M119"/>
  <c r="S119"/>
  <c r="Y119"/>
  <c r="G120"/>
  <c r="M120"/>
  <c r="S120"/>
  <c r="Y120"/>
  <c r="G121"/>
  <c r="M121"/>
  <c r="S121"/>
  <c r="Y121"/>
  <c r="G122"/>
  <c r="M122"/>
  <c r="S122"/>
  <c r="Y122"/>
  <c r="G123"/>
  <c r="M123"/>
  <c r="S123"/>
  <c r="Y123"/>
  <c r="M125"/>
  <c r="S125"/>
  <c r="T125" s="1"/>
  <c r="Y125"/>
  <c r="Z125" s="1"/>
  <c r="M128"/>
  <c r="S128"/>
  <c r="Y128"/>
  <c r="N130"/>
  <c r="AC130" s="1"/>
  <c r="Q130"/>
  <c r="T130"/>
  <c r="W130"/>
  <c r="Z130"/>
  <c r="AD130"/>
  <c r="M132"/>
  <c r="N132"/>
  <c r="S132"/>
  <c r="T132"/>
  <c r="Y132"/>
  <c r="Z132"/>
  <c r="M133"/>
  <c r="N133"/>
  <c r="S133"/>
  <c r="T133"/>
  <c r="Y133"/>
  <c r="Z133"/>
  <c r="M134"/>
  <c r="N134"/>
  <c r="S134"/>
  <c r="T134"/>
  <c r="Y134"/>
  <c r="Z134"/>
  <c r="M136"/>
  <c r="S136"/>
  <c r="Y136"/>
  <c r="N138"/>
  <c r="T138"/>
  <c r="Z138"/>
  <c r="M140"/>
  <c r="S140"/>
  <c r="Y140"/>
  <c r="N142"/>
  <c r="AC142" s="1"/>
  <c r="Q142"/>
  <c r="T142"/>
  <c r="W142"/>
  <c r="Z142"/>
  <c r="AD142"/>
  <c r="M144"/>
  <c r="S144"/>
  <c r="Y144"/>
  <c r="G145"/>
  <c r="M145"/>
  <c r="S145"/>
  <c r="Y145"/>
  <c r="G146"/>
  <c r="M146"/>
  <c r="S146"/>
  <c r="Y146"/>
  <c r="G147"/>
  <c r="M147"/>
  <c r="S147"/>
  <c r="Y147"/>
  <c r="G148"/>
  <c r="M148"/>
  <c r="S148"/>
  <c r="Y148"/>
  <c r="N150"/>
  <c r="AC150" s="1"/>
  <c r="Q150"/>
  <c r="T150"/>
  <c r="W150"/>
  <c r="Z150"/>
  <c r="AD150"/>
  <c r="M152"/>
  <c r="S152"/>
  <c r="Y152"/>
  <c r="N154"/>
  <c r="AC154" s="1"/>
  <c r="Q154"/>
  <c r="T154"/>
  <c r="W154"/>
  <c r="Z154"/>
  <c r="AD154"/>
  <c r="M155"/>
  <c r="N155"/>
  <c r="S155"/>
  <c r="T155"/>
  <c r="Y155"/>
  <c r="Z155"/>
  <c r="AD157"/>
  <c r="AD158"/>
  <c r="AD159"/>
  <c r="AD160"/>
  <c r="AD161"/>
  <c r="AD162"/>
  <c r="M165"/>
  <c r="N165"/>
  <c r="S165"/>
  <c r="T165"/>
  <c r="Y165"/>
  <c r="Z165"/>
  <c r="M166"/>
  <c r="N166" s="1"/>
  <c r="S166"/>
  <c r="T166" s="1"/>
  <c r="T175" s="1"/>
  <c r="Y166"/>
  <c r="Z166" s="1"/>
  <c r="Z175" s="1"/>
  <c r="M167"/>
  <c r="S167"/>
  <c r="Y167"/>
  <c r="M168"/>
  <c r="S168"/>
  <c r="Y168"/>
  <c r="G169"/>
  <c r="M169"/>
  <c r="S169"/>
  <c r="Y169"/>
  <c r="G170"/>
  <c r="M170"/>
  <c r="S170"/>
  <c r="Y170"/>
  <c r="M172"/>
  <c r="N172"/>
  <c r="S172"/>
  <c r="T172"/>
  <c r="Y172"/>
  <c r="Z172"/>
  <c r="AD173"/>
  <c r="B173" s="1"/>
  <c r="AC194"/>
  <c r="AC195"/>
  <c r="AC198"/>
  <c r="AC199"/>
  <c r="N201"/>
  <c r="AC201" s="1"/>
  <c r="Q201"/>
  <c r="T201"/>
  <c r="W201"/>
  <c r="Z201"/>
  <c r="E27" i="20"/>
  <c r="G27"/>
  <c r="I27"/>
  <c r="B11" i="3"/>
  <c r="Q25"/>
  <c r="P26"/>
  <c r="Q26" s="1"/>
  <c r="P27"/>
  <c r="Q27" s="1"/>
  <c r="P28"/>
  <c r="Q28" s="1"/>
  <c r="P29"/>
  <c r="Q29" s="1"/>
  <c r="P30"/>
  <c r="Q30" s="1"/>
  <c r="P31"/>
  <c r="Q31" s="1"/>
  <c r="Q32"/>
  <c r="L21" i="11"/>
  <c r="J23"/>
  <c r="B26"/>
  <c r="F32"/>
  <c r="F36"/>
  <c r="F40"/>
  <c r="L44"/>
  <c r="L45"/>
  <c r="L46"/>
  <c r="L47"/>
  <c r="F49"/>
  <c r="F51"/>
  <c r="L59"/>
  <c r="B17" i="17"/>
  <c r="B29"/>
  <c r="D32"/>
  <c r="D38" s="1"/>
  <c r="B38"/>
  <c r="D3" i="5"/>
  <c r="D4"/>
  <c r="B9" i="20" s="1"/>
  <c r="D5" i="5"/>
  <c r="D7"/>
  <c r="D8"/>
  <c r="C6" i="4"/>
  <c r="C7"/>
  <c r="I22"/>
  <c r="D23"/>
  <c r="I23"/>
  <c r="D24"/>
  <c r="I24"/>
  <c r="D25"/>
  <c r="I25"/>
  <c r="D26"/>
  <c r="I26"/>
  <c r="D27"/>
  <c r="I27"/>
  <c r="I30"/>
  <c r="I31"/>
  <c r="I32" s="1"/>
  <c r="F40"/>
  <c r="AH86" i="15" l="1"/>
  <c r="AH93" i="13"/>
  <c r="AH102" s="1"/>
  <c r="AH126" s="1"/>
  <c r="AL126" s="1"/>
  <c r="AQ89"/>
  <c r="B89" s="1"/>
  <c r="AH81" i="12"/>
  <c r="AH82" i="10"/>
  <c r="AH72"/>
  <c r="AH81" i="13"/>
  <c r="AH228" i="9"/>
  <c r="N175" i="19"/>
  <c r="Z196"/>
  <c r="W196"/>
  <c r="B5" i="20"/>
  <c r="B6" i="17"/>
  <c r="B4" i="3"/>
  <c r="B6" i="11"/>
  <c r="B9" i="7"/>
  <c r="B26" s="1"/>
  <c r="B43" s="1"/>
  <c r="B61" s="1"/>
  <c r="B5" i="3"/>
  <c r="U3" s="1"/>
  <c r="B7" i="11"/>
  <c r="B10" i="7"/>
  <c r="B27" s="1"/>
  <c r="B44" s="1"/>
  <c r="B62" s="1"/>
  <c r="B6" i="20"/>
  <c r="B7" i="17"/>
  <c r="AG49" i="18"/>
  <c r="AG47"/>
  <c r="AA50"/>
  <c r="AB50" s="1"/>
  <c r="AC50" s="1"/>
  <c r="AA35"/>
  <c r="AB35" s="1"/>
  <c r="Y32"/>
  <c r="Y34"/>
  <c r="Y33"/>
  <c r="Y21"/>
  <c r="Y18"/>
  <c r="Y20"/>
  <c r="Y17"/>
  <c r="AA15"/>
  <c r="AB15" s="1"/>
  <c r="AA13"/>
  <c r="AB13" s="1"/>
  <c r="T46" i="37"/>
  <c r="AC49"/>
  <c r="AC48"/>
  <c r="S52" i="8"/>
  <c r="R40"/>
  <c r="R52" s="1"/>
  <c r="U40"/>
  <c r="Z40"/>
  <c r="AF49"/>
  <c r="AE52"/>
  <c r="AE57"/>
  <c r="AF57" s="1"/>
  <c r="Z47"/>
  <c r="AA47" s="1"/>
  <c r="Y47"/>
  <c r="Z46"/>
  <c r="AA46" s="1"/>
  <c r="Y46"/>
  <c r="Z36"/>
  <c r="Y36"/>
  <c r="W33"/>
  <c r="U34"/>
  <c r="W35"/>
  <c r="W34"/>
  <c r="U30"/>
  <c r="W30"/>
  <c r="U26"/>
  <c r="W26"/>
  <c r="Z113" i="19"/>
  <c r="Z176" s="1"/>
  <c r="Z192" s="1"/>
  <c r="U46" i="8"/>
  <c r="U35"/>
  <c r="U27"/>
  <c r="AK41"/>
  <c r="AI44" s="1"/>
  <c r="T196" i="19"/>
  <c r="AG48" i="18"/>
  <c r="T39"/>
  <c r="T56" s="1"/>
  <c r="AB39"/>
  <c r="U56"/>
  <c r="W21" s="1"/>
  <c r="AG56"/>
  <c r="AG60"/>
  <c r="AG66"/>
  <c r="AH39"/>
  <c r="AF56"/>
  <c r="AF60"/>
  <c r="Y19"/>
  <c r="AA14"/>
  <c r="AB14" s="1"/>
  <c r="AA12"/>
  <c r="AB12" s="1"/>
  <c r="AB11"/>
  <c r="AC47" i="37"/>
  <c r="R53"/>
  <c r="AC53"/>
  <c r="AC59"/>
  <c r="AC64"/>
  <c r="W34"/>
  <c r="W33"/>
  <c r="W32"/>
  <c r="W29"/>
  <c r="W28"/>
  <c r="W27"/>
  <c r="W26"/>
  <c r="W25"/>
  <c r="W24"/>
  <c r="W23"/>
  <c r="W22"/>
  <c r="W21"/>
  <c r="W20"/>
  <c r="W19"/>
  <c r="W18"/>
  <c r="W17"/>
  <c r="AF40" i="8"/>
  <c r="AD52"/>
  <c r="AD56"/>
  <c r="U28"/>
  <c r="W29"/>
  <c r="W28"/>
  <c r="U24"/>
  <c r="W25"/>
  <c r="W27"/>
  <c r="W24"/>
  <c r="T113" i="19"/>
  <c r="T176" s="1"/>
  <c r="W35" i="18"/>
  <c r="W32"/>
  <c r="W20"/>
  <c r="AM43"/>
  <c r="AK46" s="1"/>
  <c r="T53" i="37"/>
  <c r="V39" s="1"/>
  <c r="AE54" i="8"/>
  <c r="U36"/>
  <c r="U33"/>
  <c r="U29"/>
  <c r="U25"/>
  <c r="AF52"/>
  <c r="AL93" i="15"/>
  <c r="AQ93" s="1"/>
  <c r="B93" s="1"/>
  <c r="B87"/>
  <c r="B90"/>
  <c r="B91" s="1"/>
  <c r="AF110"/>
  <c r="AF111"/>
  <c r="T111"/>
  <c r="T132"/>
  <c r="R25"/>
  <c r="L39"/>
  <c r="L41"/>
  <c r="L42"/>
  <c r="R58"/>
  <c r="R60"/>
  <c r="V60"/>
  <c r="Z60"/>
  <c r="AD60"/>
  <c r="AH60"/>
  <c r="AL60"/>
  <c r="AP60"/>
  <c r="E65"/>
  <c r="L66"/>
  <c r="E70"/>
  <c r="L74"/>
  <c r="L80"/>
  <c r="L88"/>
  <c r="L93"/>
  <c r="L95"/>
  <c r="R100"/>
  <c r="L103"/>
  <c r="R110"/>
  <c r="B110" s="1"/>
  <c r="V114"/>
  <c r="Z114"/>
  <c r="AD114"/>
  <c r="AH114"/>
  <c r="L117"/>
  <c r="L118"/>
  <c r="L119"/>
  <c r="L120"/>
  <c r="L121"/>
  <c r="L124"/>
  <c r="R133"/>
  <c r="L38"/>
  <c r="L47"/>
  <c r="R52"/>
  <c r="E54"/>
  <c r="L56"/>
  <c r="T60"/>
  <c r="X60"/>
  <c r="AB60"/>
  <c r="AF60"/>
  <c r="AJ60"/>
  <c r="AN60"/>
  <c r="R62"/>
  <c r="R64"/>
  <c r="R68" s="1"/>
  <c r="E91"/>
  <c r="E101"/>
  <c r="R111"/>
  <c r="T114"/>
  <c r="X114"/>
  <c r="AB114"/>
  <c r="AF114"/>
  <c r="AF124" s="1"/>
  <c r="AF126" s="1"/>
  <c r="AF128" s="1"/>
  <c r="AN114"/>
  <c r="R128"/>
  <c r="B97" i="13"/>
  <c r="B100"/>
  <c r="B101" s="1"/>
  <c r="N102"/>
  <c r="R102" s="1"/>
  <c r="AL90"/>
  <c r="AQ90" s="1"/>
  <c r="B90" s="1"/>
  <c r="AJ93"/>
  <c r="B82"/>
  <c r="B85"/>
  <c r="B86" s="1"/>
  <c r="F41" i="4"/>
  <c r="F42" s="1"/>
  <c r="B23" i="17"/>
  <c r="B19"/>
  <c r="B23" i="11"/>
  <c r="B25" i="17" s="1"/>
  <c r="B21" i="11"/>
  <c r="B17"/>
  <c r="B42" i="20"/>
  <c r="N107" i="19"/>
  <c r="Q100"/>
  <c r="AC100" s="1"/>
  <c r="AC107" s="1"/>
  <c r="N69"/>
  <c r="Q45"/>
  <c r="AC45" s="1"/>
  <c r="V16"/>
  <c r="P16"/>
  <c r="S56" i="18"/>
  <c r="W52"/>
  <c r="Y51"/>
  <c r="AJ46"/>
  <c r="W38"/>
  <c r="Y37"/>
  <c r="AB37" s="1"/>
  <c r="W36"/>
  <c r="F28"/>
  <c r="V28" s="1"/>
  <c r="F26"/>
  <c r="V26" s="1"/>
  <c r="F24"/>
  <c r="F22"/>
  <c r="W16"/>
  <c r="W15"/>
  <c r="W14"/>
  <c r="W13"/>
  <c r="L66" i="37"/>
  <c r="W61"/>
  <c r="W59"/>
  <c r="W38"/>
  <c r="V37"/>
  <c r="W36"/>
  <c r="W16"/>
  <c r="V15"/>
  <c r="W14"/>
  <c r="V13"/>
  <c r="AE58" i="8"/>
  <c r="AE64" s="1"/>
  <c r="AE65" s="1"/>
  <c r="AF56"/>
  <c r="AF58" s="1"/>
  <c r="Z49"/>
  <c r="AA49" s="1"/>
  <c r="AA52" s="1"/>
  <c r="U49"/>
  <c r="U48"/>
  <c r="U47"/>
  <c r="AJ41"/>
  <c r="U39"/>
  <c r="W38"/>
  <c r="Z38" s="1"/>
  <c r="U37"/>
  <c r="Z22"/>
  <c r="U22"/>
  <c r="U20"/>
  <c r="U18"/>
  <c r="Z15"/>
  <c r="Z13"/>
  <c r="F38" i="16"/>
  <c r="F39" s="1"/>
  <c r="F26"/>
  <c r="F27" s="1"/>
  <c r="J23"/>
  <c r="J17"/>
  <c r="AH70" i="15"/>
  <c r="R148"/>
  <c r="R36" s="1"/>
  <c r="AN128"/>
  <c r="AN135" s="1"/>
  <c r="T128"/>
  <c r="T135" s="1"/>
  <c r="T151" s="1"/>
  <c r="AD128"/>
  <c r="AD135" s="1"/>
  <c r="AL85"/>
  <c r="AL93" i="13"/>
  <c r="AL102" s="1"/>
  <c r="AL103" s="1"/>
  <c r="B102" i="15"/>
  <c r="B105"/>
  <c r="B106" s="1"/>
  <c r="N107"/>
  <c r="R107" s="1"/>
  <c r="B79"/>
  <c r="B82"/>
  <c r="B83" s="1"/>
  <c r="B73"/>
  <c r="B76"/>
  <c r="B77" s="1"/>
  <c r="B48"/>
  <c r="B46"/>
  <c r="B50"/>
  <c r="AP5"/>
  <c r="AN5"/>
  <c r="AD122" i="13"/>
  <c r="AD129" s="1"/>
  <c r="AD126"/>
  <c r="Z122"/>
  <c r="Z126"/>
  <c r="B21" i="17"/>
  <c r="B19" i="11"/>
  <c r="B13" i="3"/>
  <c r="B14" i="7" s="1"/>
  <c r="B31" s="1"/>
  <c r="B48" s="1"/>
  <c r="B66" s="1"/>
  <c r="W23" i="8"/>
  <c r="Z21"/>
  <c r="W20"/>
  <c r="W19"/>
  <c r="W18"/>
  <c r="Z16"/>
  <c r="Z14"/>
  <c r="AL52" i="15"/>
  <c r="AQ77" i="13"/>
  <c r="AL47"/>
  <c r="AQ47"/>
  <c r="B47" s="1"/>
  <c r="BC49"/>
  <c r="AJ52" s="1"/>
  <c r="I5"/>
  <c r="AF2" s="1"/>
  <c r="AF8" s="1"/>
  <c r="H6"/>
  <c r="AI1"/>
  <c r="AK1"/>
  <c r="B96" i="12"/>
  <c r="B99"/>
  <c r="B100" s="1"/>
  <c r="N101"/>
  <c r="R101" s="1"/>
  <c r="AQ69"/>
  <c r="B69" s="1"/>
  <c r="AL101"/>
  <c r="BD50"/>
  <c r="AL50"/>
  <c r="AQ50" s="1"/>
  <c r="B50" s="1"/>
  <c r="B98" i="10"/>
  <c r="B101"/>
  <c r="B102" s="1"/>
  <c r="N103"/>
  <c r="B88"/>
  <c r="B94"/>
  <c r="B95" s="1"/>
  <c r="AH106"/>
  <c r="AH122" s="1"/>
  <c r="AH129" s="1"/>
  <c r="AH126"/>
  <c r="AL126" s="1"/>
  <c r="AD106"/>
  <c r="AD126"/>
  <c r="Z106"/>
  <c r="Z122" s="1"/>
  <c r="Z126"/>
  <c r="V106"/>
  <c r="AN5"/>
  <c r="AP5"/>
  <c r="B142" i="13"/>
  <c r="B141" s="1"/>
  <c r="B140" s="1"/>
  <c r="B139" s="1"/>
  <c r="B138" s="1"/>
  <c r="B137" s="1"/>
  <c r="B136" s="1"/>
  <c r="B135" s="1"/>
  <c r="B134" s="1"/>
  <c r="B133" s="1"/>
  <c r="B132" s="1"/>
  <c r="B131" s="1"/>
  <c r="B130" s="1"/>
  <c r="AQ88"/>
  <c r="B88" s="1"/>
  <c r="AP77"/>
  <c r="O47"/>
  <c r="L42"/>
  <c r="AP5"/>
  <c r="X119" i="12"/>
  <c r="AH119"/>
  <c r="AH126" s="1"/>
  <c r="Z119"/>
  <c r="AQ103" i="10"/>
  <c r="L38" i="13"/>
  <c r="L40"/>
  <c r="L47"/>
  <c r="R52"/>
  <c r="E54"/>
  <c r="L56"/>
  <c r="T60"/>
  <c r="X60"/>
  <c r="AQ60" s="1"/>
  <c r="AB60"/>
  <c r="AF60"/>
  <c r="AJ60"/>
  <c r="AN60"/>
  <c r="R62"/>
  <c r="R64"/>
  <c r="R68" s="1"/>
  <c r="B87" i="12"/>
  <c r="B92"/>
  <c r="B93" s="1"/>
  <c r="B82"/>
  <c r="B85"/>
  <c r="B86" s="1"/>
  <c r="AF104"/>
  <c r="AF107" s="1"/>
  <c r="AF115" s="1"/>
  <c r="AF117" s="1"/>
  <c r="AF119" s="1"/>
  <c r="AF123"/>
  <c r="AF124" s="1"/>
  <c r="AB126" s="1"/>
  <c r="AB104"/>
  <c r="AB123"/>
  <c r="X104"/>
  <c r="X123"/>
  <c r="T104"/>
  <c r="T123"/>
  <c r="AH104"/>
  <c r="AH123"/>
  <c r="AL123" s="1"/>
  <c r="AD104"/>
  <c r="AD119" s="1"/>
  <c r="AD126" s="1"/>
  <c r="AD123"/>
  <c r="Z104"/>
  <c r="Z123"/>
  <c r="V104"/>
  <c r="B83" i="10"/>
  <c r="B86"/>
  <c r="B87" s="1"/>
  <c r="AQ70"/>
  <c r="B70" s="1"/>
  <c r="AL103"/>
  <c r="BD51"/>
  <c r="AL51"/>
  <c r="AQ51" s="1"/>
  <c r="B51" s="1"/>
  <c r="L38"/>
  <c r="L39"/>
  <c r="L41"/>
  <c r="L43"/>
  <c r="E56"/>
  <c r="L58"/>
  <c r="T62"/>
  <c r="X62"/>
  <c r="AB62"/>
  <c r="AF62"/>
  <c r="AJ62"/>
  <c r="AN62"/>
  <c r="R64"/>
  <c r="R66"/>
  <c r="R70" s="1"/>
  <c r="E72"/>
  <c r="L76"/>
  <c r="L84"/>
  <c r="L89"/>
  <c r="L90"/>
  <c r="L91"/>
  <c r="L92"/>
  <c r="R96"/>
  <c r="L99"/>
  <c r="R103"/>
  <c r="R106"/>
  <c r="T109"/>
  <c r="X109"/>
  <c r="AB109"/>
  <c r="AF109"/>
  <c r="AF118" s="1"/>
  <c r="AF120" s="1"/>
  <c r="AN109"/>
  <c r="AN122" s="1"/>
  <c r="AN129" s="1"/>
  <c r="R122"/>
  <c r="R129"/>
  <c r="P25"/>
  <c r="L40"/>
  <c r="L42"/>
  <c r="L44"/>
  <c r="L49"/>
  <c r="R54"/>
  <c r="R60"/>
  <c r="R62"/>
  <c r="V62"/>
  <c r="Z62"/>
  <c r="AD62"/>
  <c r="AH62"/>
  <c r="AL62"/>
  <c r="AP62"/>
  <c r="E67"/>
  <c r="L68"/>
  <c r="E87"/>
  <c r="E97"/>
  <c r="R105"/>
  <c r="B105" s="1"/>
  <c r="V109"/>
  <c r="Z109"/>
  <c r="AD109"/>
  <c r="AD122" s="1"/>
  <c r="AD129" s="1"/>
  <c r="AH109"/>
  <c r="L112"/>
  <c r="L113"/>
  <c r="L114"/>
  <c r="L115"/>
  <c r="L118"/>
  <c r="R127"/>
  <c r="B241" i="9"/>
  <c r="B244"/>
  <c r="B246" s="1"/>
  <c r="N247"/>
  <c r="R247" s="1"/>
  <c r="V126" i="15"/>
  <c r="AJ68"/>
  <c r="AP58"/>
  <c r="AQ58" s="1"/>
  <c r="AJ52"/>
  <c r="H5"/>
  <c r="AB126" i="13"/>
  <c r="X126"/>
  <c r="T126"/>
  <c r="V120"/>
  <c r="AF106"/>
  <c r="AF109" s="1"/>
  <c r="AF118" s="1"/>
  <c r="AF120" s="1"/>
  <c r="AF105"/>
  <c r="AQ58"/>
  <c r="AJ5"/>
  <c r="AJ1"/>
  <c r="AJ118" s="1"/>
  <c r="AH71" i="12"/>
  <c r="B139"/>
  <c r="B138" s="1"/>
  <c r="B137" s="1"/>
  <c r="B136" s="1"/>
  <c r="B135" s="1"/>
  <c r="B134" s="1"/>
  <c r="B133" s="1"/>
  <c r="B132" s="1"/>
  <c r="B131" s="1"/>
  <c r="B130" s="1"/>
  <c r="B129" s="1"/>
  <c r="B128" s="1"/>
  <c r="B127" s="1"/>
  <c r="AB119"/>
  <c r="T119"/>
  <c r="T126" s="1"/>
  <c r="T142" s="1"/>
  <c r="AQ101"/>
  <c r="AL53"/>
  <c r="AL104" s="1"/>
  <c r="AL119" s="1"/>
  <c r="AL126" s="1"/>
  <c r="AP124" s="1"/>
  <c r="AJ122" i="10"/>
  <c r="AJ129" s="1"/>
  <c r="AL54"/>
  <c r="AL106" s="1"/>
  <c r="AL122" s="1"/>
  <c r="AL129" s="1"/>
  <c r="AP127" s="1"/>
  <c r="AD251" i="9"/>
  <c r="AD266" s="1"/>
  <c r="AD273" s="1"/>
  <c r="AD270"/>
  <c r="B234"/>
  <c r="B237"/>
  <c r="B238" s="1"/>
  <c r="B229"/>
  <c r="B232"/>
  <c r="B233" s="1"/>
  <c r="B224"/>
  <c r="B225" s="1"/>
  <c r="B221"/>
  <c r="B212"/>
  <c r="B213" s="1"/>
  <c r="B209"/>
  <c r="R139" i="12"/>
  <c r="R36" s="1"/>
  <c r="V117"/>
  <c r="AP77"/>
  <c r="AQ77" s="1"/>
  <c r="L67"/>
  <c r="E66"/>
  <c r="AP61"/>
  <c r="AL61"/>
  <c r="AH61"/>
  <c r="AD61"/>
  <c r="Z61"/>
  <c r="V61"/>
  <c r="AQ61" s="1"/>
  <c r="R61"/>
  <c r="AP59"/>
  <c r="AQ59" s="1"/>
  <c r="R59"/>
  <c r="R53"/>
  <c r="BC50"/>
  <c r="AJ53" s="1"/>
  <c r="AJ104" s="1"/>
  <c r="AJ119" s="1"/>
  <c r="AJ126" s="1"/>
  <c r="AQ48"/>
  <c r="B48" s="1"/>
  <c r="L48"/>
  <c r="AQ43"/>
  <c r="B43" s="1"/>
  <c r="L43"/>
  <c r="AQ41"/>
  <c r="B41" s="1"/>
  <c r="L41"/>
  <c r="AQ39"/>
  <c r="B39" s="1"/>
  <c r="L39"/>
  <c r="AQ38"/>
  <c r="H11"/>
  <c r="H6"/>
  <c r="AK1"/>
  <c r="R142" i="10"/>
  <c r="R36" s="1"/>
  <c r="AB126"/>
  <c r="X126"/>
  <c r="T126"/>
  <c r="V120"/>
  <c r="AP78"/>
  <c r="AQ78" s="1"/>
  <c r="AP60"/>
  <c r="AQ60" s="1"/>
  <c r="BC51"/>
  <c r="AJ54" s="1"/>
  <c r="AJ106" s="1"/>
  <c r="AQ49"/>
  <c r="B49" s="1"/>
  <c r="AQ44"/>
  <c r="B44" s="1"/>
  <c r="AQ42"/>
  <c r="B42" s="1"/>
  <c r="AQ40"/>
  <c r="H5"/>
  <c r="B286" i="9"/>
  <c r="B285" s="1"/>
  <c r="B284" s="1"/>
  <c r="B283" s="1"/>
  <c r="B282" s="1"/>
  <c r="B281" s="1"/>
  <c r="B280" s="1"/>
  <c r="B279" s="1"/>
  <c r="B278" s="1"/>
  <c r="B277" s="1"/>
  <c r="B276" s="1"/>
  <c r="B275" s="1"/>
  <c r="B274" s="1"/>
  <c r="AJ264"/>
  <c r="AB264"/>
  <c r="X264"/>
  <c r="T264"/>
  <c r="AL167"/>
  <c r="AQ257"/>
  <c r="B257" s="1"/>
  <c r="AP261"/>
  <c r="AH250"/>
  <c r="AH251"/>
  <c r="AH270"/>
  <c r="AL270" s="1"/>
  <c r="B218"/>
  <c r="B219" s="1"/>
  <c r="B215"/>
  <c r="AQ182"/>
  <c r="B182" s="1"/>
  <c r="AL206"/>
  <c r="AL245" s="1"/>
  <c r="BD206"/>
  <c r="AQ159"/>
  <c r="B159" s="1"/>
  <c r="BD166"/>
  <c r="I134"/>
  <c r="O133"/>
  <c r="I153"/>
  <c r="I154" s="1"/>
  <c r="I155" s="1"/>
  <c r="AK1" i="10"/>
  <c r="AH266" i="9"/>
  <c r="AH273" s="1"/>
  <c r="AQ261"/>
  <c r="AF247"/>
  <c r="T247"/>
  <c r="AL133"/>
  <c r="AQ116"/>
  <c r="B116" s="1"/>
  <c r="AP129"/>
  <c r="B108"/>
  <c r="B111"/>
  <c r="B112" s="1"/>
  <c r="AL61"/>
  <c r="AQ61" s="1"/>
  <c r="B61" s="1"/>
  <c r="BD61"/>
  <c r="AL64"/>
  <c r="AQ38"/>
  <c r="X5"/>
  <c r="V33"/>
  <c r="Z5"/>
  <c r="X33"/>
  <c r="AB5"/>
  <c r="AD5" s="1"/>
  <c r="Z33"/>
  <c r="AD2"/>
  <c r="AB33"/>
  <c r="AJ206"/>
  <c r="AQ206" s="1"/>
  <c r="I182"/>
  <c r="BC166"/>
  <c r="AJ227" s="1"/>
  <c r="AJ247" s="1"/>
  <c r="AL166"/>
  <c r="AQ166" s="1"/>
  <c r="AQ161"/>
  <c r="B161" s="1"/>
  <c r="I161"/>
  <c r="AJ154"/>
  <c r="AQ150"/>
  <c r="B150" s="1"/>
  <c r="AQ137"/>
  <c r="B137" s="1"/>
  <c r="BF129"/>
  <c r="AP227" s="1"/>
  <c r="AL130"/>
  <c r="AL129"/>
  <c r="AQ129" s="1"/>
  <c r="AL103"/>
  <c r="AL136"/>
  <c r="AQ136"/>
  <c r="B136" s="1"/>
  <c r="AL135"/>
  <c r="AQ135"/>
  <c r="B135" s="1"/>
  <c r="B70"/>
  <c r="B71" s="1"/>
  <c r="B72" s="1"/>
  <c r="B73" s="1"/>
  <c r="B66"/>
  <c r="T3"/>
  <c r="AH3"/>
  <c r="T2"/>
  <c r="I117"/>
  <c r="AQ79"/>
  <c r="B79" s="1"/>
  <c r="BC61"/>
  <c r="AJ64" s="1"/>
  <c r="AQ59"/>
  <c r="B59" s="1"/>
  <c r="AQ48"/>
  <c r="B48" s="1"/>
  <c r="AQ40"/>
  <c r="B40" s="1"/>
  <c r="L40"/>
  <c r="H11"/>
  <c r="AK1"/>
  <c r="AH105" i="13" l="1"/>
  <c r="AH106"/>
  <c r="AH122" s="1"/>
  <c r="AH129" s="1"/>
  <c r="B206" i="9"/>
  <c r="B207" s="1"/>
  <c r="B169"/>
  <c r="AL104"/>
  <c r="AF5"/>
  <c r="AD8"/>
  <c r="AD33"/>
  <c r="AL65"/>
  <c r="AF251"/>
  <c r="AF254" s="1"/>
  <c r="AF262" s="1"/>
  <c r="AF250"/>
  <c r="B60" i="10"/>
  <c r="B61" s="1"/>
  <c r="B62" s="1"/>
  <c r="B63" s="1"/>
  <c r="B56"/>
  <c r="V122"/>
  <c r="I6" i="12"/>
  <c r="AB2" s="1"/>
  <c r="AD2" s="1"/>
  <c r="J4"/>
  <c r="H7"/>
  <c r="B59"/>
  <c r="B60" s="1"/>
  <c r="B61" s="1"/>
  <c r="B62" s="1"/>
  <c r="B55"/>
  <c r="B74"/>
  <c r="B77"/>
  <c r="B78" s="1"/>
  <c r="AL118" i="13"/>
  <c r="AL120" s="1"/>
  <c r="AJ120"/>
  <c r="B58"/>
  <c r="B59" s="1"/>
  <c r="B60" s="1"/>
  <c r="B61" s="1"/>
  <c r="B54"/>
  <c r="AF122"/>
  <c r="AF126"/>
  <c r="AF127" s="1"/>
  <c r="AB129" s="1"/>
  <c r="B54" i="15"/>
  <c r="B58"/>
  <c r="B59" s="1"/>
  <c r="B60" s="1"/>
  <c r="B61" s="1"/>
  <c r="AF122" i="10"/>
  <c r="AF126"/>
  <c r="AF127" s="1"/>
  <c r="AB129" s="1"/>
  <c r="B66"/>
  <c r="B69"/>
  <c r="B71"/>
  <c r="B49" i="12"/>
  <c r="B47"/>
  <c r="B51"/>
  <c r="B73" i="13"/>
  <c r="B77"/>
  <c r="B78" s="1"/>
  <c r="Y19" i="8"/>
  <c r="Z19" s="1"/>
  <c r="F28" i="16"/>
  <c r="F29" s="1"/>
  <c r="J27"/>
  <c r="V22" i="18"/>
  <c r="F27"/>
  <c r="V27" s="1"/>
  <c r="AA51"/>
  <c r="AB51"/>
  <c r="AC51" s="1"/>
  <c r="AC56" s="1"/>
  <c r="V113" i="19"/>
  <c r="V115"/>
  <c r="W115" s="1"/>
  <c r="V116"/>
  <c r="V118"/>
  <c r="V120"/>
  <c r="V122"/>
  <c r="V125"/>
  <c r="W125" s="1"/>
  <c r="V128"/>
  <c r="V136"/>
  <c r="V140"/>
  <c r="V144"/>
  <c r="V145"/>
  <c r="V146"/>
  <c r="V147"/>
  <c r="V148"/>
  <c r="V152"/>
  <c r="V166"/>
  <c r="W166" s="1"/>
  <c r="V167"/>
  <c r="V168"/>
  <c r="V170"/>
  <c r="V114"/>
  <c r="W114" s="1"/>
  <c r="V117"/>
  <c r="V119"/>
  <c r="V121"/>
  <c r="V123"/>
  <c r="V132"/>
  <c r="W132" s="1"/>
  <c r="V133"/>
  <c r="W133" s="1"/>
  <c r="V134"/>
  <c r="W134" s="1"/>
  <c r="V155"/>
  <c r="W155" s="1"/>
  <c r="V165"/>
  <c r="W165" s="1"/>
  <c r="W175" s="1"/>
  <c r="V169"/>
  <c r="V172"/>
  <c r="W172" s="1"/>
  <c r="N81"/>
  <c r="AQ93" i="13"/>
  <c r="AJ102"/>
  <c r="AJ105" s="1"/>
  <c r="Z27" i="8"/>
  <c r="Y27"/>
  <c r="Z29"/>
  <c r="Y29"/>
  <c r="AD54"/>
  <c r="AD58"/>
  <c r="Y26"/>
  <c r="Z26" s="1"/>
  <c r="Y30"/>
  <c r="Z30" s="1"/>
  <c r="Y34"/>
  <c r="Z34" s="1"/>
  <c r="U14"/>
  <c r="U16"/>
  <c r="U19"/>
  <c r="U21"/>
  <c r="U23"/>
  <c r="U32"/>
  <c r="U38"/>
  <c r="U41"/>
  <c r="U44"/>
  <c r="U12"/>
  <c r="U13"/>
  <c r="U15"/>
  <c r="U17"/>
  <c r="U31"/>
  <c r="U50"/>
  <c r="AA20" i="18"/>
  <c r="AB20" s="1"/>
  <c r="AA34"/>
  <c r="AB34" s="1"/>
  <c r="AA32"/>
  <c r="AB32" s="1"/>
  <c r="AP106" i="10"/>
  <c r="AP109" s="1"/>
  <c r="AP118" s="1"/>
  <c r="AP120" s="1"/>
  <c r="AP122" s="1"/>
  <c r="AP129" s="1"/>
  <c r="AQ62"/>
  <c r="AB124" i="12"/>
  <c r="AQ124" s="1"/>
  <c r="V126" i="10"/>
  <c r="AQ126" s="1"/>
  <c r="AQ54"/>
  <c r="AQ60" i="15"/>
  <c r="AF132"/>
  <c r="AF133" s="1"/>
  <c r="AB135" s="1"/>
  <c r="V35" i="37"/>
  <c r="V60"/>
  <c r="V17"/>
  <c r="V18"/>
  <c r="V19"/>
  <c r="V20"/>
  <c r="V21"/>
  <c r="V22"/>
  <c r="V23"/>
  <c r="V24"/>
  <c r="V25"/>
  <c r="V26"/>
  <c r="V27"/>
  <c r="V28"/>
  <c r="V29"/>
  <c r="V32"/>
  <c r="V33"/>
  <c r="V34"/>
  <c r="W19" i="18"/>
  <c r="W12"/>
  <c r="W34"/>
  <c r="W17"/>
  <c r="O117" i="9"/>
  <c r="I118"/>
  <c r="B58"/>
  <c r="B62"/>
  <c r="B60"/>
  <c r="AL154"/>
  <c r="AL155" s="1"/>
  <c r="BD154"/>
  <c r="AL227" s="1"/>
  <c r="AL247" s="1"/>
  <c r="AL251" s="1"/>
  <c r="AL266" s="1"/>
  <c r="AL273" s="1"/>
  <c r="I5" i="10"/>
  <c r="AF2" s="1"/>
  <c r="AF8" s="1"/>
  <c r="H6"/>
  <c r="AJ250" i="9"/>
  <c r="AJ251"/>
  <c r="B114"/>
  <c r="B129"/>
  <c r="B130" s="1"/>
  <c r="O161"/>
  <c r="I162"/>
  <c r="B157"/>
  <c r="B166"/>
  <c r="B167" s="1"/>
  <c r="O182"/>
  <c r="I183"/>
  <c r="AY58"/>
  <c r="AY108"/>
  <c r="AY114"/>
  <c r="AY132"/>
  <c r="AY169"/>
  <c r="AY209"/>
  <c r="AY215"/>
  <c r="AY221"/>
  <c r="AY157"/>
  <c r="AB33" i="10"/>
  <c r="AB279" i="9"/>
  <c r="AB33" i="12"/>
  <c r="AB33" i="13"/>
  <c r="AB33" i="15"/>
  <c r="AX58" i="9"/>
  <c r="AX108"/>
  <c r="AX114"/>
  <c r="AX132"/>
  <c r="AX157"/>
  <c r="AX169"/>
  <c r="AX209"/>
  <c r="AX215"/>
  <c r="AX221"/>
  <c r="Z279"/>
  <c r="AW58"/>
  <c r="AW108"/>
  <c r="AW114"/>
  <c r="AW169"/>
  <c r="AW209"/>
  <c r="AW215"/>
  <c r="AW221"/>
  <c r="AW132"/>
  <c r="AW157"/>
  <c r="X279"/>
  <c r="AV58"/>
  <c r="AV108"/>
  <c r="AV114"/>
  <c r="AV132"/>
  <c r="AV157"/>
  <c r="AV169"/>
  <c r="AV209"/>
  <c r="AV215"/>
  <c r="AV221"/>
  <c r="V279"/>
  <c r="T251"/>
  <c r="T270"/>
  <c r="I135"/>
  <c r="O134"/>
  <c r="B40" i="10"/>
  <c r="B75"/>
  <c r="B78"/>
  <c r="B79" s="1"/>
  <c r="V119" i="12"/>
  <c r="V122" i="13"/>
  <c r="V126"/>
  <c r="AQ126" s="1"/>
  <c r="I5" i="15"/>
  <c r="AF2" s="1"/>
  <c r="AF8" s="1"/>
  <c r="H6"/>
  <c r="B50" i="10"/>
  <c r="B48"/>
  <c r="B52"/>
  <c r="B65" i="12"/>
  <c r="B68"/>
  <c r="B70"/>
  <c r="J4" i="13"/>
  <c r="H7"/>
  <c r="I6"/>
  <c r="AB2" s="1"/>
  <c r="AD2" s="1"/>
  <c r="AL49"/>
  <c r="AQ49" s="1"/>
  <c r="B49" s="1"/>
  <c r="BD49"/>
  <c r="AL52" s="1"/>
  <c r="AL53" i="15"/>
  <c r="Y18" i="8"/>
  <c r="Y20"/>
  <c r="Z20" s="1"/>
  <c r="Z23"/>
  <c r="Y23"/>
  <c r="F40" i="16"/>
  <c r="F41" s="1"/>
  <c r="J39"/>
  <c r="V24" i="18"/>
  <c r="F29"/>
  <c r="V29" s="1"/>
  <c r="Y28"/>
  <c r="W28"/>
  <c r="P113" i="19"/>
  <c r="P115"/>
  <c r="P116"/>
  <c r="P118"/>
  <c r="P120"/>
  <c r="P122"/>
  <c r="P125"/>
  <c r="Q125" s="1"/>
  <c r="P128"/>
  <c r="P136"/>
  <c r="P140"/>
  <c r="P144"/>
  <c r="P145"/>
  <c r="P146"/>
  <c r="P147"/>
  <c r="P148"/>
  <c r="P152"/>
  <c r="P166"/>
  <c r="P167"/>
  <c r="P168"/>
  <c r="P170"/>
  <c r="P114"/>
  <c r="P117"/>
  <c r="P119"/>
  <c r="P121"/>
  <c r="P123"/>
  <c r="P132"/>
  <c r="P133"/>
  <c r="P134"/>
  <c r="P155"/>
  <c r="P165"/>
  <c r="P169"/>
  <c r="P172"/>
  <c r="AD45"/>
  <c r="B45" s="1"/>
  <c r="Q69"/>
  <c r="Q81" s="1"/>
  <c r="AD100"/>
  <c r="Q107"/>
  <c r="AD107" s="1"/>
  <c r="B86" s="1"/>
  <c r="V12" i="37"/>
  <c r="V14"/>
  <c r="V16"/>
  <c r="V30"/>
  <c r="V31"/>
  <c r="V36"/>
  <c r="V38"/>
  <c r="V43"/>
  <c r="V50"/>
  <c r="V51"/>
  <c r="V59"/>
  <c r="V61"/>
  <c r="V11"/>
  <c r="T11" i="19"/>
  <c r="T143" i="12" s="1"/>
  <c r="T144" s="1"/>
  <c r="AB148" s="1"/>
  <c r="AB149" s="1"/>
  <c r="AB150" s="1"/>
  <c r="AB151" s="1"/>
  <c r="AB152" s="1"/>
  <c r="AB153" s="1"/>
  <c r="AB154" s="1"/>
  <c r="AB155" s="1"/>
  <c r="Z155" s="1"/>
  <c r="AH122" s="1"/>
  <c r="AF122" s="1"/>
  <c r="AQ122" s="1"/>
  <c r="T181" i="19"/>
  <c r="T183" s="1"/>
  <c r="Y24" i="8"/>
  <c r="Z24"/>
  <c r="Y25"/>
  <c r="Z25" s="1"/>
  <c r="Y28"/>
  <c r="Z28"/>
  <c r="AC66" i="37"/>
  <c r="AC60"/>
  <c r="AC61" s="1"/>
  <c r="AA19" i="18"/>
  <c r="AB19"/>
  <c r="AP39" i="13"/>
  <c r="AF62" i="18"/>
  <c r="AF58"/>
  <c r="AP39" i="15"/>
  <c r="W31" i="18"/>
  <c r="W37"/>
  <c r="W51"/>
  <c r="W53"/>
  <c r="W54"/>
  <c r="W11"/>
  <c r="W30"/>
  <c r="W43"/>
  <c r="W46"/>
  <c r="Z11" i="19"/>
  <c r="T152" i="15" s="1"/>
  <c r="T153" s="1"/>
  <c r="AB157" s="1"/>
  <c r="Z181" i="19"/>
  <c r="Z183" s="1"/>
  <c r="Y35" i="8"/>
  <c r="Z35" s="1"/>
  <c r="Y33"/>
  <c r="Z33" s="1"/>
  <c r="AA17" i="18"/>
  <c r="AB17"/>
  <c r="AA18"/>
  <c r="AB18" s="1"/>
  <c r="AA21"/>
  <c r="AB21"/>
  <c r="AA33"/>
  <c r="AB33"/>
  <c r="AG68"/>
  <c r="AG69" s="1"/>
  <c r="AG70" s="1"/>
  <c r="AG61"/>
  <c r="AP41" i="15" s="1"/>
  <c r="AQ41" s="1"/>
  <c r="B41" s="1"/>
  <c r="T266" i="9"/>
  <c r="T273" s="1"/>
  <c r="T289" s="1"/>
  <c r="AJ266"/>
  <c r="AJ273" s="1"/>
  <c r="AQ133"/>
  <c r="B133" s="1"/>
  <c r="AQ118" i="10"/>
  <c r="V123" i="12"/>
  <c r="AQ123" s="1"/>
  <c r="AQ53"/>
  <c r="AF126"/>
  <c r="AQ126" s="1"/>
  <c r="AP104"/>
  <c r="AP107" s="1"/>
  <c r="AP115" s="1"/>
  <c r="AP117" s="1"/>
  <c r="AP119" s="1"/>
  <c r="AP126" s="1"/>
  <c r="AQ106" i="10"/>
  <c r="AC67" i="37"/>
  <c r="AC68" s="1"/>
  <c r="W39" i="18"/>
  <c r="W18"/>
  <c r="W50"/>
  <c r="T192" i="19"/>
  <c r="V46" i="37"/>
  <c r="W33" i="18"/>
  <c r="AJ106" i="13" l="1"/>
  <c r="AP271" i="9"/>
  <c r="F17" i="11" s="1"/>
  <c r="B110" i="10"/>
  <c r="B111" s="1"/>
  <c r="B118"/>
  <c r="Z2" i="19"/>
  <c r="Z9"/>
  <c r="AP42" i="15"/>
  <c r="AQ42" s="1"/>
  <c r="B42" s="1"/>
  <c r="AP66"/>
  <c r="AQ39"/>
  <c r="T2" i="19"/>
  <c r="T9"/>
  <c r="AD169"/>
  <c r="B169" s="1"/>
  <c r="AC169"/>
  <c r="Q155"/>
  <c r="AD155" s="1"/>
  <c r="AC155"/>
  <c r="Q133"/>
  <c r="AD133"/>
  <c r="AC133"/>
  <c r="AD123"/>
  <c r="B123" s="1"/>
  <c r="AC123"/>
  <c r="AD119"/>
  <c r="B119" s="1"/>
  <c r="AC119"/>
  <c r="Q114"/>
  <c r="AD114" s="1"/>
  <c r="B114" s="1"/>
  <c r="AC114"/>
  <c r="AC168"/>
  <c r="AD168"/>
  <c r="B168" s="1"/>
  <c r="Q166"/>
  <c r="AC166"/>
  <c r="AD166"/>
  <c r="B166" s="1"/>
  <c r="AC148"/>
  <c r="AD148"/>
  <c r="AC146"/>
  <c r="AD146"/>
  <c r="AC144"/>
  <c r="AD144"/>
  <c r="AC136"/>
  <c r="AD136"/>
  <c r="AC120"/>
  <c r="AD120"/>
  <c r="B120" s="1"/>
  <c r="AC116"/>
  <c r="AD116"/>
  <c r="B116" s="1"/>
  <c r="AA28" i="18"/>
  <c r="AB28" s="1"/>
  <c r="Y24"/>
  <c r="W24"/>
  <c r="J41" i="16"/>
  <c r="F42"/>
  <c r="F43" s="1"/>
  <c r="AL53" i="13"/>
  <c r="AL105"/>
  <c r="AL106"/>
  <c r="AL122" s="1"/>
  <c r="AL129" s="1"/>
  <c r="H8"/>
  <c r="I7"/>
  <c r="Z2" s="1"/>
  <c r="I6" i="15"/>
  <c r="AB2" s="1"/>
  <c r="AD2" s="1"/>
  <c r="J4"/>
  <c r="H7"/>
  <c r="I136" i="9"/>
  <c r="O135"/>
  <c r="AY73" i="13"/>
  <c r="AY46"/>
  <c r="AB135"/>
  <c r="O118" i="9"/>
  <c r="I119"/>
  <c r="B87" i="13"/>
  <c r="B93"/>
  <c r="B94" s="1"/>
  <c r="W27" i="18"/>
  <c r="Y27"/>
  <c r="AB127" i="10"/>
  <c r="AQ127" s="1"/>
  <c r="AB127" i="13"/>
  <c r="I7" i="12"/>
  <c r="Z2" s="1"/>
  <c r="H8"/>
  <c r="AF5"/>
  <c r="AD8"/>
  <c r="AF264" i="9"/>
  <c r="AD279"/>
  <c r="AD33" i="12"/>
  <c r="AD132" s="1"/>
  <c r="AD33" i="10"/>
  <c r="AD135" s="1"/>
  <c r="AD33" i="15"/>
  <c r="AD141" s="1"/>
  <c r="AD33" i="13"/>
  <c r="AD135" s="1"/>
  <c r="T5" i="9"/>
  <c r="AH5"/>
  <c r="V53" i="37"/>
  <c r="Y52" i="8"/>
  <c r="AQ117" i="12"/>
  <c r="B117" s="1"/>
  <c r="V227" i="9"/>
  <c r="V247" s="1"/>
  <c r="X227"/>
  <c r="X247" s="1"/>
  <c r="Z227"/>
  <c r="Z247" s="1"/>
  <c r="AB227"/>
  <c r="AB247" s="1"/>
  <c r="AQ104" i="12"/>
  <c r="AQ128" s="1"/>
  <c r="B2" s="1"/>
  <c r="AD69" i="19"/>
  <c r="W138"/>
  <c r="W26" i="18"/>
  <c r="AJ122" i="13"/>
  <c r="AJ129" s="1"/>
  <c r="AQ120" i="10"/>
  <c r="B120" s="1"/>
  <c r="AL248" i="9"/>
  <c r="AL250"/>
  <c r="AQ154"/>
  <c r="AB158" i="15"/>
  <c r="AB159" s="1"/>
  <c r="AB160" s="1"/>
  <c r="AB161" s="1"/>
  <c r="AB162" s="1"/>
  <c r="AB163" s="1"/>
  <c r="AB164" s="1"/>
  <c r="Z157"/>
  <c r="AP66" i="13"/>
  <c r="AQ39"/>
  <c r="AP42"/>
  <c r="AQ42" s="1"/>
  <c r="B42" s="1"/>
  <c r="Q196" i="19"/>
  <c r="Q172"/>
  <c r="AD172" s="1"/>
  <c r="B172" s="1"/>
  <c r="AC172"/>
  <c r="Q165"/>
  <c r="Q175" s="1"/>
  <c r="Q113" s="1"/>
  <c r="AD165"/>
  <c r="AC165"/>
  <c r="Q134"/>
  <c r="AD134" s="1"/>
  <c r="AC134"/>
  <c r="Q132"/>
  <c r="AD132"/>
  <c r="AC132"/>
  <c r="AD121"/>
  <c r="B121" s="1"/>
  <c r="AC121"/>
  <c r="AD117"/>
  <c r="B117" s="1"/>
  <c r="AC117"/>
  <c r="AC170"/>
  <c r="AD170"/>
  <c r="B170" s="1"/>
  <c r="AC167"/>
  <c r="AD167"/>
  <c r="B167" s="1"/>
  <c r="AC152"/>
  <c r="AD152"/>
  <c r="AC147"/>
  <c r="AD147"/>
  <c r="AC145"/>
  <c r="AD145"/>
  <c r="AC140"/>
  <c r="AD140"/>
  <c r="AC128"/>
  <c r="AD128"/>
  <c r="AC122"/>
  <c r="AD122"/>
  <c r="B122" s="1"/>
  <c r="AC118"/>
  <c r="AD118"/>
  <c r="B118" s="1"/>
  <c r="Q115"/>
  <c r="AC115" s="1"/>
  <c r="AD115"/>
  <c r="B115" s="1"/>
  <c r="W29" i="18"/>
  <c r="Y29"/>
  <c r="B46" i="13"/>
  <c r="B50"/>
  <c r="B48"/>
  <c r="AD8"/>
  <c r="AF5"/>
  <c r="T3"/>
  <c r="AH3"/>
  <c r="AY46" i="15"/>
  <c r="AY73"/>
  <c r="AY79"/>
  <c r="AB85" s="1"/>
  <c r="AB107" s="1"/>
  <c r="AB141"/>
  <c r="AY47" i="12"/>
  <c r="AB132"/>
  <c r="AY74"/>
  <c r="AY48" i="10"/>
  <c r="AB135"/>
  <c r="AY75"/>
  <c r="I184" i="9"/>
  <c r="O183"/>
  <c r="O162"/>
  <c r="I163"/>
  <c r="J4" i="10"/>
  <c r="H7"/>
  <c r="I6"/>
  <c r="AB2" s="1"/>
  <c r="AD2" s="1"/>
  <c r="AC81" i="19"/>
  <c r="AD81"/>
  <c r="N196"/>
  <c r="AC196" s="1"/>
  <c r="N125"/>
  <c r="Y22" i="18"/>
  <c r="W22"/>
  <c r="Y25"/>
  <c r="Y23"/>
  <c r="W25"/>
  <c r="W23"/>
  <c r="J29" i="16"/>
  <c r="F30"/>
  <c r="F31" s="1"/>
  <c r="AH3" i="12"/>
  <c r="T3"/>
  <c r="AQ115"/>
  <c r="AG62" i="18"/>
  <c r="Z18" i="8"/>
  <c r="Z52" s="1"/>
  <c r="AQ119" i="12"/>
  <c r="AF135" i="15"/>
  <c r="AC69" i="19"/>
  <c r="W113"/>
  <c r="W176" s="1"/>
  <c r="Y26" i="18"/>
  <c r="AF129" i="10"/>
  <c r="AQ129" s="1"/>
  <c r="AF129" i="13"/>
  <c r="AQ122" i="10"/>
  <c r="AP52" i="13" l="1"/>
  <c r="Q176" i="19"/>
  <c r="AC113"/>
  <c r="AD113"/>
  <c r="AP127" i="13"/>
  <c r="D19" i="17" s="1"/>
  <c r="AL160" i="13"/>
  <c r="I18" i="19"/>
  <c r="B196"/>
  <c r="B2"/>
  <c r="AD8" i="10"/>
  <c r="AF5"/>
  <c r="AA29" i="18"/>
  <c r="AB29"/>
  <c r="AD163" i="19"/>
  <c r="B165"/>
  <c r="B164"/>
  <c r="B39" i="13"/>
  <c r="B119" i="10"/>
  <c r="B121"/>
  <c r="AB250" i="9"/>
  <c r="AB251"/>
  <c r="AB266" s="1"/>
  <c r="AB270"/>
  <c r="X251"/>
  <c r="X266" s="1"/>
  <c r="X270"/>
  <c r="B116" i="12"/>
  <c r="B118"/>
  <c r="T5"/>
  <c r="AH5"/>
  <c r="AB5"/>
  <c r="AD5" s="1"/>
  <c r="Z33"/>
  <c r="I7" i="15"/>
  <c r="Z2" s="1"/>
  <c r="H8"/>
  <c r="AF5"/>
  <c r="AD8"/>
  <c r="H9" i="13"/>
  <c r="I8"/>
  <c r="X2" s="1"/>
  <c r="F44" i="16"/>
  <c r="F45" s="1"/>
  <c r="J43"/>
  <c r="AP68" i="15"/>
  <c r="AQ68" s="1"/>
  <c r="B68" s="1"/>
  <c r="AQ66"/>
  <c r="B66" s="1"/>
  <c r="AQ127" i="13"/>
  <c r="W11" i="19"/>
  <c r="T146" i="13" s="1"/>
  <c r="T147" s="1"/>
  <c r="AB151" s="1"/>
  <c r="W181" i="19"/>
  <c r="W183" s="1"/>
  <c r="W192"/>
  <c r="B108" i="12"/>
  <c r="B109" s="1"/>
  <c r="B115"/>
  <c r="AA25" i="18"/>
  <c r="AB25"/>
  <c r="AA22"/>
  <c r="T3" i="10"/>
  <c r="AH3"/>
  <c r="O184" i="9"/>
  <c r="I185"/>
  <c r="AB111" i="15"/>
  <c r="AB128" s="1"/>
  <c r="AB133" s="1"/>
  <c r="AB110"/>
  <c r="AB132"/>
  <c r="AA26" i="18"/>
  <c r="AB26" s="1"/>
  <c r="F32" i="16"/>
  <c r="J31"/>
  <c r="AA23" i="18"/>
  <c r="AB23"/>
  <c r="AC125" i="19"/>
  <c r="AD125"/>
  <c r="B125" s="1"/>
  <c r="N176"/>
  <c r="B81"/>
  <c r="B18"/>
  <c r="H8" i="10"/>
  <c r="I7"/>
  <c r="Z2" s="1"/>
  <c r="O163" i="9"/>
  <c r="I164"/>
  <c r="O164" s="1"/>
  <c r="AH5" i="13"/>
  <c r="T5"/>
  <c r="AD175" i="19"/>
  <c r="AC175"/>
  <c r="AP68" i="13"/>
  <c r="AQ66"/>
  <c r="B66" s="1"/>
  <c r="B132" i="9"/>
  <c r="B154"/>
  <c r="B155" s="1"/>
  <c r="Z251"/>
  <c r="Z266" s="1"/>
  <c r="Z270"/>
  <c r="V251"/>
  <c r="V270"/>
  <c r="AF266"/>
  <c r="AF270"/>
  <c r="AF271" s="1"/>
  <c r="AB273" s="1"/>
  <c r="I8" i="12"/>
  <c r="X2" s="1"/>
  <c r="H9"/>
  <c r="AA27" i="18"/>
  <c r="AB27" s="1"/>
  <c r="O119" i="9"/>
  <c r="I120"/>
  <c r="I137"/>
  <c r="O136"/>
  <c r="AH3" i="15"/>
  <c r="T3"/>
  <c r="AB5" i="13"/>
  <c r="AD5" s="1"/>
  <c r="Z33"/>
  <c r="AB24" i="18"/>
  <c r="AA24"/>
  <c r="B39" i="15"/>
  <c r="L17" i="11"/>
  <c r="Q138" i="19"/>
  <c r="Z164" i="15"/>
  <c r="AH131" s="1"/>
  <c r="AF131" s="1"/>
  <c r="AQ131" s="1"/>
  <c r="AQ52" i="13"/>
  <c r="AP52" i="15"/>
  <c r="AQ52" l="1"/>
  <c r="AD138" i="19"/>
  <c r="AC138"/>
  <c r="AX46" i="13"/>
  <c r="Z135"/>
  <c r="AX73"/>
  <c r="O120" i="9"/>
  <c r="I121"/>
  <c r="I9" i="12"/>
  <c r="V2" s="1"/>
  <c r="H10"/>
  <c r="I10" s="1"/>
  <c r="V5" s="1"/>
  <c r="V266" i="9"/>
  <c r="AB5" i="10"/>
  <c r="AD5" s="1"/>
  <c r="Z33"/>
  <c r="N11" i="19"/>
  <c r="T290" i="9" s="1"/>
  <c r="T291" s="1"/>
  <c r="AB295" s="1"/>
  <c r="AD176" i="19"/>
  <c r="N181"/>
  <c r="N192"/>
  <c r="O185" i="9"/>
  <c r="I186"/>
  <c r="Z151" i="13"/>
  <c r="Z158" s="1"/>
  <c r="AH125" s="1"/>
  <c r="AF125" s="1"/>
  <c r="AQ125" s="1"/>
  <c r="AB152"/>
  <c r="AB153" s="1"/>
  <c r="AB154" s="1"/>
  <c r="AB155" s="1"/>
  <c r="AB156" s="1"/>
  <c r="AB157" s="1"/>
  <c r="AB158" s="1"/>
  <c r="B64" i="15"/>
  <c r="B67"/>
  <c r="B69"/>
  <c r="J45" i="16"/>
  <c r="F46"/>
  <c r="H10" i="13"/>
  <c r="I10" s="1"/>
  <c r="V5" s="1"/>
  <c r="I9"/>
  <c r="V2" s="1"/>
  <c r="T5" i="15"/>
  <c r="AH5"/>
  <c r="AB5"/>
  <c r="AD5" s="1"/>
  <c r="Z33"/>
  <c r="E9" i="19"/>
  <c r="I110"/>
  <c r="B111"/>
  <c r="B163"/>
  <c r="B126" s="1"/>
  <c r="B195"/>
  <c r="B194" s="1"/>
  <c r="B193" s="1"/>
  <c r="B192" s="1"/>
  <c r="B191" s="1"/>
  <c r="B190" s="1"/>
  <c r="B189" s="1"/>
  <c r="B197"/>
  <c r="B198" s="1"/>
  <c r="B199" s="1"/>
  <c r="B200" s="1"/>
  <c r="B201" s="1"/>
  <c r="AD112"/>
  <c r="AD110" s="1"/>
  <c r="B113"/>
  <c r="Q11"/>
  <c r="T146" i="10" s="1"/>
  <c r="T147" s="1"/>
  <c r="AB151" s="1"/>
  <c r="AB152" s="1"/>
  <c r="AB153" s="1"/>
  <c r="AB154" s="1"/>
  <c r="AB155" s="1"/>
  <c r="AB156" s="1"/>
  <c r="AB157" s="1"/>
  <c r="AB158" s="1"/>
  <c r="Z158" s="1"/>
  <c r="AH125" s="1"/>
  <c r="AF125" s="1"/>
  <c r="AQ125" s="1"/>
  <c r="AQ131" s="1"/>
  <c r="B2" s="1"/>
  <c r="Q181" i="19"/>
  <c r="Q183" s="1"/>
  <c r="Q192"/>
  <c r="AF273" i="9"/>
  <c r="AL304" s="1"/>
  <c r="AA56" i="18"/>
  <c r="I138" i="9"/>
  <c r="O137"/>
  <c r="Z5" i="12"/>
  <c r="X33"/>
  <c r="AB271" i="9"/>
  <c r="AQ271" s="1"/>
  <c r="AP102" i="13"/>
  <c r="AQ68"/>
  <c r="B68" s="1"/>
  <c r="H9" i="10"/>
  <c r="I8"/>
  <c r="X2" s="1"/>
  <c r="W2" i="19"/>
  <c r="W9"/>
  <c r="Z5" i="13"/>
  <c r="X33"/>
  <c r="I8" i="15"/>
  <c r="X2" s="1"/>
  <c r="H9"/>
  <c r="AX74" i="12"/>
  <c r="AX47"/>
  <c r="Z132"/>
  <c r="AH5" i="10"/>
  <c r="T5"/>
  <c r="AQ270" i="9"/>
  <c r="AB22" i="18"/>
  <c r="AB56" s="1"/>
  <c r="AC176" i="19"/>
  <c r="I9" i="15" l="1"/>
  <c r="V2" s="1"/>
  <c r="H10"/>
  <c r="I10" s="1"/>
  <c r="V5" s="1"/>
  <c r="Z5"/>
  <c r="X33"/>
  <c r="H10" i="10"/>
  <c r="I10" s="1"/>
  <c r="V5" s="1"/>
  <c r="I9"/>
  <c r="V2" s="1"/>
  <c r="AQ102" i="13"/>
  <c r="AP105"/>
  <c r="AP106"/>
  <c r="O138" i="9"/>
  <c r="I139"/>
  <c r="Q2" i="19"/>
  <c r="Q9"/>
  <c r="AX73" i="15"/>
  <c r="AX79"/>
  <c r="Z85" s="1"/>
  <c r="Z107" s="1"/>
  <c r="Z141"/>
  <c r="AX46"/>
  <c r="X5" i="13"/>
  <c r="V33"/>
  <c r="J46" i="16"/>
  <c r="F47"/>
  <c r="AC181" i="19"/>
  <c r="AD181"/>
  <c r="N183"/>
  <c r="Z295" i="9"/>
  <c r="AB296"/>
  <c r="AB297" s="1"/>
  <c r="AB298" s="1"/>
  <c r="AB299" s="1"/>
  <c r="AB300" s="1"/>
  <c r="AB301" s="1"/>
  <c r="AB302" s="1"/>
  <c r="X5" i="12"/>
  <c r="V33"/>
  <c r="AW46" i="13"/>
  <c r="AW73"/>
  <c r="X135"/>
  <c r="Z5" i="10"/>
  <c r="X33"/>
  <c r="B67" i="13"/>
  <c r="B64"/>
  <c r="B69"/>
  <c r="AW47" i="12"/>
  <c r="X132"/>
  <c r="AW74"/>
  <c r="E7" i="19"/>
  <c r="I176"/>
  <c r="I181"/>
  <c r="E12"/>
  <c r="F3" s="1"/>
  <c r="I187" i="9"/>
  <c r="O186"/>
  <c r="B110" i="19"/>
  <c r="B176"/>
  <c r="AX75" i="10"/>
  <c r="AX48"/>
  <c r="Z135"/>
  <c r="O121" i="9"/>
  <c r="I122"/>
  <c r="B112" i="19"/>
  <c r="AD180"/>
  <c r="AD111" s="1"/>
  <c r="B174" s="1"/>
  <c r="AC192"/>
  <c r="O122" i="9" l="1"/>
  <c r="I123"/>
  <c r="O187"/>
  <c r="I188"/>
  <c r="B20" i="19"/>
  <c r="B69"/>
  <c r="B70"/>
  <c r="B79"/>
  <c r="B88"/>
  <c r="B99"/>
  <c r="B102"/>
  <c r="B104"/>
  <c r="B19"/>
  <c r="B68"/>
  <c r="B71"/>
  <c r="B78"/>
  <c r="B87"/>
  <c r="B100"/>
  <c r="B101"/>
  <c r="B105"/>
  <c r="AW48" i="10"/>
  <c r="X135"/>
  <c r="AW75"/>
  <c r="Z297" i="9"/>
  <c r="AH105" s="1"/>
  <c r="Z302"/>
  <c r="AH269" s="1"/>
  <c r="AF269" s="1"/>
  <c r="AQ269" s="1"/>
  <c r="J47" i="16"/>
  <c r="F48"/>
  <c r="AV46" i="13"/>
  <c r="V135"/>
  <c r="AV73"/>
  <c r="Z111" i="15"/>
  <c r="Z128" s="1"/>
  <c r="Z132"/>
  <c r="O139" i="9"/>
  <c r="I140"/>
  <c r="AP109" i="13"/>
  <c r="AP118" s="1"/>
  <c r="AQ106"/>
  <c r="X5" i="15"/>
  <c r="V33"/>
  <c r="B177" i="19"/>
  <c r="B179"/>
  <c r="B178"/>
  <c r="B181"/>
  <c r="B180" s="1"/>
  <c r="E8"/>
  <c r="AV74" i="12"/>
  <c r="AV47"/>
  <c r="V132"/>
  <c r="N2" i="19"/>
  <c r="N9"/>
  <c r="AC9" s="1"/>
  <c r="AD183"/>
  <c r="AC183"/>
  <c r="AC2" s="1"/>
  <c r="X5" i="10"/>
  <c r="V33"/>
  <c r="AW46" i="15"/>
  <c r="AW73"/>
  <c r="AW79"/>
  <c r="X85" s="1"/>
  <c r="X107" s="1"/>
  <c r="X141"/>
  <c r="E6" i="19" l="1"/>
  <c r="X132" i="15"/>
  <c r="X111"/>
  <c r="X128" s="1"/>
  <c r="E10" i="19"/>
  <c r="O2"/>
  <c r="R2"/>
  <c r="U2"/>
  <c r="X2"/>
  <c r="AA2"/>
  <c r="AP120" i="13"/>
  <c r="AQ118"/>
  <c r="F49" i="16"/>
  <c r="J48"/>
  <c r="AV75" i="10"/>
  <c r="AV48"/>
  <c r="V135"/>
  <c r="AV73" i="15"/>
  <c r="AV79"/>
  <c r="V85" s="1"/>
  <c r="V107" s="1"/>
  <c r="V141"/>
  <c r="AV46"/>
  <c r="O140" i="9"/>
  <c r="I141"/>
  <c r="O188"/>
  <c r="I189"/>
  <c r="O123"/>
  <c r="I124"/>
  <c r="B110" i="13" l="1"/>
  <c r="B111" s="1"/>
  <c r="B118"/>
  <c r="O124" i="9"/>
  <c r="I125"/>
  <c r="O189"/>
  <c r="I190"/>
  <c r="O141"/>
  <c r="I142"/>
  <c r="V111" i="15"/>
  <c r="V132"/>
  <c r="J49" i="16"/>
  <c r="F50"/>
  <c r="AP122" i="13"/>
  <c r="AQ120"/>
  <c r="B120" s="1"/>
  <c r="AP129" l="1"/>
  <c r="AQ129" s="1"/>
  <c r="D21" i="17"/>
  <c r="D25" s="1"/>
  <c r="D41" s="1"/>
  <c r="AQ122" i="13"/>
  <c r="V128" i="15"/>
  <c r="O142" i="9"/>
  <c r="I143"/>
  <c r="I191"/>
  <c r="O190"/>
  <c r="O125"/>
  <c r="I126"/>
  <c r="B121" i="13"/>
  <c r="B119"/>
  <c r="J50" i="16"/>
  <c r="F51"/>
  <c r="J51" l="1"/>
  <c r="F52"/>
  <c r="O126" i="9"/>
  <c r="I127"/>
  <c r="O127" s="1"/>
  <c r="O143"/>
  <c r="I144"/>
  <c r="I192"/>
  <c r="O191"/>
  <c r="AQ131" i="13"/>
  <c r="B2" s="1"/>
  <c r="O192" i="9" l="1"/>
  <c r="I193"/>
  <c r="I145"/>
  <c r="O144"/>
  <c r="F53" i="16"/>
  <c r="J53" s="1"/>
  <c r="J52"/>
  <c r="G52" l="1"/>
  <c r="G50"/>
  <c r="G45"/>
  <c r="G49"/>
  <c r="O193" i="9"/>
  <c r="I194"/>
  <c r="G53" i="16"/>
  <c r="G18"/>
  <c r="G26"/>
  <c r="G24"/>
  <c r="G21"/>
  <c r="G25"/>
  <c r="G15"/>
  <c r="G37"/>
  <c r="G32"/>
  <c r="G34"/>
  <c r="G35"/>
  <c r="G36"/>
  <c r="G33"/>
  <c r="G16"/>
  <c r="F32" i="17" s="1"/>
  <c r="F38" s="1"/>
  <c r="G20" i="16"/>
  <c r="G27"/>
  <c r="G17"/>
  <c r="G23"/>
  <c r="G22"/>
  <c r="G13"/>
  <c r="G14"/>
  <c r="G19"/>
  <c r="G28"/>
  <c r="G38"/>
  <c r="G39"/>
  <c r="G29"/>
  <c r="G40"/>
  <c r="G41"/>
  <c r="I146" i="9"/>
  <c r="O145"/>
  <c r="G43" i="16"/>
  <c r="G48"/>
  <c r="G47"/>
  <c r="G30"/>
  <c r="G51"/>
  <c r="G42"/>
  <c r="G44"/>
  <c r="G46"/>
  <c r="G31"/>
  <c r="H31" l="1"/>
  <c r="L31"/>
  <c r="H51"/>
  <c r="L51"/>
  <c r="H47"/>
  <c r="L47"/>
  <c r="H43"/>
  <c r="L43"/>
  <c r="I147" i="9"/>
  <c r="O146"/>
  <c r="H39" i="16"/>
  <c r="L39"/>
  <c r="AP95" i="15"/>
  <c r="AP98" s="1"/>
  <c r="AP107" s="1"/>
  <c r="G55" i="16"/>
  <c r="H17"/>
  <c r="L17"/>
  <c r="H33"/>
  <c r="L33"/>
  <c r="H35"/>
  <c r="L35"/>
  <c r="H15"/>
  <c r="L15"/>
  <c r="H21"/>
  <c r="L21"/>
  <c r="L53"/>
  <c r="H53"/>
  <c r="L45"/>
  <c r="H45"/>
  <c r="H41"/>
  <c r="L41"/>
  <c r="H29"/>
  <c r="L29"/>
  <c r="H19"/>
  <c r="L19"/>
  <c r="H13"/>
  <c r="L13"/>
  <c r="AH95" i="15"/>
  <c r="H23" i="16"/>
  <c r="L23"/>
  <c r="H27"/>
  <c r="L27"/>
  <c r="L37"/>
  <c r="H37"/>
  <c r="L25"/>
  <c r="H25"/>
  <c r="O194" i="9"/>
  <c r="I195"/>
  <c r="L49" i="16"/>
  <c r="H49"/>
  <c r="O195" i="9" l="1"/>
  <c r="I196"/>
  <c r="AJ95" i="15"/>
  <c r="AJ98" s="1"/>
  <c r="AJ107" s="1"/>
  <c r="AH98"/>
  <c r="AP111"/>
  <c r="AP114" s="1"/>
  <c r="AP124" s="1"/>
  <c r="AP110"/>
  <c r="I148" i="9"/>
  <c r="O147"/>
  <c r="H55" i="16"/>
  <c r="L55"/>
  <c r="I149" i="9" l="1"/>
  <c r="O148"/>
  <c r="AP126" i="15"/>
  <c r="AQ124"/>
  <c r="AJ110"/>
  <c r="AJ111"/>
  <c r="AJ128" s="1"/>
  <c r="AJ135" s="1"/>
  <c r="AH107"/>
  <c r="O196" i="9"/>
  <c r="I197"/>
  <c r="AL95" i="15"/>
  <c r="AL98" l="1"/>
  <c r="AQ95"/>
  <c r="AH110"/>
  <c r="AH111"/>
  <c r="AH132"/>
  <c r="AP128"/>
  <c r="AQ126"/>
  <c r="B126" s="1"/>
  <c r="I150" i="9"/>
  <c r="O149"/>
  <c r="O197"/>
  <c r="I198"/>
  <c r="B115" i="15"/>
  <c r="B116" s="1"/>
  <c r="B124"/>
  <c r="I151" i="9" l="1"/>
  <c r="O150"/>
  <c r="F21" i="17"/>
  <c r="AL132" i="15"/>
  <c r="AQ132" s="1"/>
  <c r="AL107"/>
  <c r="AQ98"/>
  <c r="O198" i="9"/>
  <c r="I199"/>
  <c r="B127" i="15"/>
  <c r="B125"/>
  <c r="AH128"/>
  <c r="B95"/>
  <c r="AH135" l="1"/>
  <c r="AL108"/>
  <c r="AL111"/>
  <c r="AL110"/>
  <c r="AQ107"/>
  <c r="O151" i="9"/>
  <c r="I152"/>
  <c r="O152" s="1"/>
  <c r="O199"/>
  <c r="I200"/>
  <c r="B92" i="15"/>
  <c r="B98"/>
  <c r="B99" s="1"/>
  <c r="O200" i="9" l="1"/>
  <c r="I201"/>
  <c r="AL128" i="15"/>
  <c r="AQ111"/>
  <c r="AL135" l="1"/>
  <c r="AQ128"/>
  <c r="O201" i="9"/>
  <c r="I202"/>
  <c r="AP133" i="15" l="1"/>
  <c r="AL166"/>
  <c r="O202" i="9"/>
  <c r="I203"/>
  <c r="F19" i="17" l="1"/>
  <c r="F25" s="1"/>
  <c r="F41" s="1"/>
  <c r="AQ133" i="15"/>
  <c r="AP135"/>
  <c r="AQ135" s="1"/>
  <c r="O203" i="9"/>
  <c r="I204"/>
  <c r="O204" s="1"/>
  <c r="AQ137" i="15" l="1"/>
  <c r="B2" s="1"/>
  <c r="B2" i="9"/>
  <c r="B42"/>
  <c r="AP42"/>
  <c r="AQ42"/>
  <c r="B44"/>
  <c r="AP44"/>
  <c r="AQ44"/>
  <c r="B46"/>
  <c r="AP46"/>
  <c r="AQ46"/>
  <c r="AP64"/>
  <c r="AQ64"/>
  <c r="B76"/>
  <c r="B97"/>
  <c r="AP97"/>
  <c r="AQ97"/>
  <c r="B102"/>
  <c r="B103"/>
  <c r="AP103"/>
  <c r="AQ103"/>
  <c r="B104"/>
  <c r="AP247"/>
  <c r="AQ247"/>
  <c r="AP250"/>
  <c r="AP251"/>
  <c r="AQ251"/>
  <c r="AP254"/>
  <c r="B255"/>
  <c r="B256"/>
  <c r="B262"/>
  <c r="AP262"/>
  <c r="AQ262"/>
  <c r="B263"/>
  <c r="B264"/>
  <c r="AP264"/>
  <c r="AQ264"/>
  <c r="B265"/>
  <c r="AP266"/>
  <c r="AQ266"/>
  <c r="AP273"/>
  <c r="AQ273"/>
  <c r="AQ275"/>
  <c r="AP308"/>
  <c r="AP310"/>
  <c r="AP311"/>
  <c r="AD6" i="8"/>
  <c r="E12"/>
  <c r="G12"/>
  <c r="N12"/>
  <c r="P12"/>
  <c r="AC12"/>
  <c r="E13"/>
  <c r="G13"/>
  <c r="N13"/>
  <c r="P13"/>
  <c r="AC13"/>
  <c r="E14"/>
  <c r="G14"/>
  <c r="N14"/>
  <c r="P14"/>
  <c r="AC14"/>
  <c r="E15"/>
  <c r="G15"/>
  <c r="N15"/>
  <c r="P15"/>
  <c r="AC15"/>
  <c r="E16"/>
  <c r="G16"/>
  <c r="N16"/>
  <c r="P16"/>
  <c r="AC16"/>
  <c r="E17"/>
  <c r="G17"/>
  <c r="N17"/>
  <c r="P17"/>
  <c r="AC17"/>
  <c r="E18"/>
  <c r="G18"/>
  <c r="N18"/>
  <c r="P18"/>
  <c r="AC18"/>
  <c r="E19"/>
  <c r="G19"/>
  <c r="N19"/>
  <c r="P19"/>
  <c r="AC19"/>
  <c r="E20"/>
  <c r="G20"/>
  <c r="N20"/>
  <c r="P20"/>
  <c r="AC20"/>
  <c r="E21"/>
  <c r="G21"/>
  <c r="N21"/>
  <c r="P21"/>
  <c r="AC21"/>
  <c r="E22"/>
  <c r="G22"/>
  <c r="N22"/>
  <c r="P22"/>
  <c r="AC22"/>
  <c r="E23"/>
  <c r="G23"/>
  <c r="N23"/>
  <c r="P23"/>
  <c r="AC23"/>
  <c r="E24"/>
  <c r="G24"/>
  <c r="N24"/>
  <c r="P24"/>
  <c r="AC24"/>
  <c r="E25"/>
  <c r="G25"/>
  <c r="N25"/>
  <c r="P25"/>
  <c r="AC25"/>
  <c r="E26"/>
  <c r="G26"/>
  <c r="N26"/>
  <c r="P26"/>
  <c r="AC26"/>
  <c r="E27"/>
  <c r="G27"/>
  <c r="N27"/>
  <c r="P27"/>
  <c r="AC27"/>
  <c r="E28"/>
  <c r="G28"/>
  <c r="N28"/>
  <c r="P28"/>
  <c r="AC28"/>
  <c r="E29"/>
  <c r="G29"/>
  <c r="N29"/>
  <c r="P29"/>
  <c r="AC29"/>
  <c r="E30"/>
  <c r="G30"/>
  <c r="N30"/>
  <c r="P30"/>
  <c r="AC30"/>
  <c r="E31"/>
  <c r="G31"/>
  <c r="N31"/>
  <c r="P31"/>
  <c r="AC31"/>
  <c r="E32"/>
  <c r="G32"/>
  <c r="N32"/>
  <c r="P32"/>
  <c r="AC32"/>
  <c r="E33"/>
  <c r="G33"/>
  <c r="N33"/>
  <c r="P33"/>
  <c r="AC33"/>
  <c r="E34"/>
  <c r="G34"/>
  <c r="N34"/>
  <c r="P34"/>
  <c r="AC34"/>
  <c r="E35"/>
  <c r="G35"/>
  <c r="N35"/>
  <c r="P35"/>
  <c r="AC35"/>
  <c r="E36"/>
  <c r="G36"/>
  <c r="N36"/>
  <c r="P36"/>
  <c r="AC36"/>
  <c r="E37"/>
  <c r="G37"/>
  <c r="N37"/>
  <c r="P37"/>
  <c r="AC37"/>
  <c r="E38"/>
  <c r="G38"/>
  <c r="N38"/>
  <c r="P38"/>
  <c r="AC38"/>
  <c r="E39"/>
  <c r="G39"/>
  <c r="N39"/>
  <c r="P39"/>
  <c r="AC39"/>
  <c r="E40"/>
  <c r="N40"/>
  <c r="AC40"/>
  <c r="E41"/>
  <c r="G41"/>
  <c r="N41"/>
  <c r="P41"/>
  <c r="AC41"/>
  <c r="E44"/>
  <c r="N44"/>
  <c r="AC44"/>
  <c r="E46"/>
  <c r="N46"/>
  <c r="AC46"/>
  <c r="E47"/>
  <c r="N47"/>
  <c r="AC47"/>
  <c r="E48"/>
  <c r="N48"/>
  <c r="AC48"/>
  <c r="E49"/>
  <c r="G49"/>
  <c r="N49"/>
  <c r="P49"/>
  <c r="AC49"/>
  <c r="E50"/>
  <c r="G50"/>
  <c r="N50"/>
  <c r="P50"/>
  <c r="AC50"/>
  <c r="AC52"/>
  <c r="AC54"/>
  <c r="AC56"/>
  <c r="AC57"/>
  <c r="AC58"/>
  <c r="AC60"/>
  <c r="AC61"/>
  <c r="AC62"/>
  <c r="AC64"/>
  <c r="AC65"/>
  <c r="AA7" i="37"/>
  <c r="F11"/>
  <c r="H11"/>
  <c r="O11"/>
  <c r="Q11"/>
  <c r="AA11"/>
  <c r="F12"/>
  <c r="H12"/>
  <c r="O12"/>
  <c r="Q12"/>
  <c r="AA12"/>
  <c r="F13"/>
  <c r="H13"/>
  <c r="O13"/>
  <c r="Q13"/>
  <c r="AA13"/>
  <c r="F14"/>
  <c r="H14"/>
  <c r="O14"/>
  <c r="Q14"/>
  <c r="AA14"/>
  <c r="F15"/>
  <c r="H15"/>
  <c r="O15"/>
  <c r="Q15"/>
  <c r="AA15"/>
  <c r="F16"/>
  <c r="H16"/>
  <c r="O16"/>
  <c r="Q16"/>
  <c r="AA16"/>
  <c r="F17"/>
  <c r="H17"/>
  <c r="O17"/>
  <c r="Q17"/>
  <c r="AA17"/>
  <c r="F18"/>
  <c r="H18"/>
  <c r="O18"/>
  <c r="Q18"/>
  <c r="AA18"/>
  <c r="F19"/>
  <c r="H19"/>
  <c r="O19"/>
  <c r="Q19"/>
  <c r="AA19"/>
  <c r="F20"/>
  <c r="H20"/>
  <c r="O20"/>
  <c r="Q20"/>
  <c r="AA20"/>
  <c r="F21"/>
  <c r="H21"/>
  <c r="O21"/>
  <c r="Q21"/>
  <c r="AA21"/>
  <c r="F22"/>
  <c r="H22"/>
  <c r="O22"/>
  <c r="Q22"/>
  <c r="AA22"/>
  <c r="F23"/>
  <c r="H23"/>
  <c r="O23"/>
  <c r="Q23"/>
  <c r="AA23"/>
  <c r="F24"/>
  <c r="H24"/>
  <c r="O24"/>
  <c r="Q24"/>
  <c r="AA24"/>
  <c r="F25"/>
  <c r="H25"/>
  <c r="O25"/>
  <c r="Q25"/>
  <c r="AA25"/>
  <c r="F26"/>
  <c r="H26"/>
  <c r="O26"/>
  <c r="Q26"/>
  <c r="AA26"/>
  <c r="F27"/>
  <c r="H27"/>
  <c r="O27"/>
  <c r="Q27"/>
  <c r="AA27"/>
  <c r="F28"/>
  <c r="H28"/>
  <c r="O28"/>
  <c r="Q28"/>
  <c r="AA28"/>
  <c r="F29"/>
  <c r="H29"/>
  <c r="O29"/>
  <c r="Q29"/>
  <c r="AA29"/>
  <c r="F30"/>
  <c r="H30"/>
  <c r="O30"/>
  <c r="Q30"/>
  <c r="AA30"/>
  <c r="F31"/>
  <c r="H31"/>
  <c r="O31"/>
  <c r="Q31"/>
  <c r="AA31"/>
  <c r="F32"/>
  <c r="H32"/>
  <c r="O32"/>
  <c r="Q32"/>
  <c r="AA32"/>
  <c r="F33"/>
  <c r="H33"/>
  <c r="O33"/>
  <c r="Q33"/>
  <c r="AA33"/>
  <c r="F34"/>
  <c r="H34"/>
  <c r="O34"/>
  <c r="Q34"/>
  <c r="AA34"/>
  <c r="F35"/>
  <c r="H35"/>
  <c r="O35"/>
  <c r="Q35"/>
  <c r="AA35"/>
  <c r="F36"/>
  <c r="H36"/>
  <c r="O36"/>
  <c r="Q36"/>
  <c r="AA36"/>
  <c r="F37"/>
  <c r="H37"/>
  <c r="O37"/>
  <c r="Q37"/>
  <c r="AA37"/>
  <c r="F38"/>
  <c r="H38"/>
  <c r="O38"/>
  <c r="Q38"/>
  <c r="AA38"/>
  <c r="F39"/>
  <c r="O39"/>
  <c r="AA39"/>
  <c r="F40"/>
  <c r="O40"/>
  <c r="AA40"/>
  <c r="F41"/>
  <c r="O41"/>
  <c r="AA41"/>
  <c r="F42"/>
  <c r="O42"/>
  <c r="AA42"/>
  <c r="F43"/>
  <c r="H43"/>
  <c r="O43"/>
  <c r="Q43"/>
  <c r="AA43"/>
  <c r="F46"/>
  <c r="O46"/>
  <c r="AA46"/>
  <c r="F47"/>
  <c r="O47"/>
  <c r="AA47"/>
  <c r="F48"/>
  <c r="O48"/>
  <c r="AA48"/>
  <c r="F49"/>
  <c r="O49"/>
  <c r="AA49"/>
  <c r="F50"/>
  <c r="H50"/>
  <c r="O50"/>
  <c r="Q50"/>
  <c r="AA50"/>
  <c r="F51"/>
  <c r="H51"/>
  <c r="O51"/>
  <c r="Q51"/>
  <c r="AA51"/>
  <c r="AA53"/>
  <c r="F59"/>
  <c r="O59"/>
  <c r="AA59"/>
  <c r="F60"/>
  <c r="O60"/>
  <c r="AA60"/>
  <c r="F61"/>
  <c r="O61"/>
  <c r="AA61"/>
  <c r="AA63"/>
  <c r="AA64"/>
  <c r="AA65"/>
  <c r="AA67"/>
  <c r="AA68"/>
  <c r="AF6" i="18"/>
  <c r="G11"/>
  <c r="I11"/>
  <c r="P11"/>
  <c r="R11"/>
  <c r="AE11"/>
  <c r="G12"/>
  <c r="I12"/>
  <c r="P12"/>
  <c r="R12"/>
  <c r="AE12"/>
  <c r="G13"/>
  <c r="I13"/>
  <c r="P13"/>
  <c r="R13"/>
  <c r="AE13"/>
  <c r="G14"/>
  <c r="I14"/>
  <c r="P14"/>
  <c r="R14"/>
  <c r="AE14"/>
  <c r="G15"/>
  <c r="I15"/>
  <c r="P15"/>
  <c r="R15"/>
  <c r="AE15"/>
  <c r="G16"/>
  <c r="I16"/>
  <c r="P16"/>
  <c r="R16"/>
  <c r="AE16"/>
  <c r="G17"/>
  <c r="I17"/>
  <c r="P17"/>
  <c r="R17"/>
  <c r="AE17"/>
  <c r="G18"/>
  <c r="I18"/>
  <c r="P18"/>
  <c r="R18"/>
  <c r="AE18"/>
  <c r="G19"/>
  <c r="I19"/>
  <c r="P19"/>
  <c r="R19"/>
  <c r="AE19"/>
  <c r="G20"/>
  <c r="I20"/>
  <c r="P20"/>
  <c r="R20"/>
  <c r="AE20"/>
  <c r="G21"/>
  <c r="I21"/>
  <c r="P21"/>
  <c r="R21"/>
  <c r="AE21"/>
  <c r="G22"/>
  <c r="I22"/>
  <c r="P22"/>
  <c r="R22"/>
  <c r="AE22"/>
  <c r="G23"/>
  <c r="I23"/>
  <c r="P23"/>
  <c r="R23"/>
  <c r="AE23"/>
  <c r="G24"/>
  <c r="I24"/>
  <c r="P24"/>
  <c r="R24"/>
  <c r="AE24"/>
  <c r="G25"/>
  <c r="I25"/>
  <c r="P25"/>
  <c r="R25"/>
  <c r="AE25"/>
  <c r="G26"/>
  <c r="I26"/>
  <c r="P26"/>
  <c r="R26"/>
  <c r="AE26"/>
  <c r="G27"/>
  <c r="I27"/>
  <c r="P27"/>
  <c r="R27"/>
  <c r="AE27"/>
  <c r="G28"/>
  <c r="I28"/>
  <c r="P28"/>
  <c r="R28"/>
  <c r="AE28"/>
  <c r="G29"/>
  <c r="I29"/>
  <c r="P29"/>
  <c r="R29"/>
  <c r="AE29"/>
  <c r="G30"/>
  <c r="I30"/>
  <c r="P30"/>
  <c r="R30"/>
  <c r="AE30"/>
  <c r="G31"/>
  <c r="I31"/>
  <c r="P31"/>
  <c r="R31"/>
  <c r="AE31"/>
  <c r="G32"/>
  <c r="I32"/>
  <c r="P32"/>
  <c r="R32"/>
  <c r="AE32"/>
  <c r="G33"/>
  <c r="I33"/>
  <c r="P33"/>
  <c r="R33"/>
  <c r="AE33"/>
  <c r="G34"/>
  <c r="I34"/>
  <c r="P34"/>
  <c r="R34"/>
  <c r="AE34"/>
  <c r="G35"/>
  <c r="I35"/>
  <c r="P35"/>
  <c r="R35"/>
  <c r="AE35"/>
  <c r="G36"/>
  <c r="I36"/>
  <c r="P36"/>
  <c r="R36"/>
  <c r="AE36"/>
  <c r="G37"/>
  <c r="I37"/>
  <c r="P37"/>
  <c r="R37"/>
  <c r="AE37"/>
  <c r="G38"/>
  <c r="I38"/>
  <c r="P38"/>
  <c r="R38"/>
  <c r="AE38"/>
  <c r="G39"/>
  <c r="P39"/>
  <c r="AE39"/>
  <c r="G40"/>
  <c r="P40"/>
  <c r="AE40"/>
  <c r="AH40"/>
  <c r="G41"/>
  <c r="P41"/>
  <c r="AE41"/>
  <c r="AH41"/>
  <c r="G42"/>
  <c r="P42"/>
  <c r="AE42"/>
  <c r="AH42"/>
  <c r="G43"/>
  <c r="I43"/>
  <c r="P43"/>
  <c r="R43"/>
  <c r="AE43"/>
  <c r="G46"/>
  <c r="P46"/>
  <c r="AE46"/>
  <c r="G47"/>
  <c r="P47"/>
  <c r="AE47"/>
  <c r="G48"/>
  <c r="P48"/>
  <c r="AE48"/>
  <c r="G49"/>
  <c r="P49"/>
  <c r="AE49"/>
  <c r="G50"/>
  <c r="P50"/>
  <c r="G51"/>
  <c r="P51"/>
  <c r="G52"/>
  <c r="P52"/>
  <c r="G53"/>
  <c r="I53"/>
  <c r="P53"/>
  <c r="R53"/>
  <c r="AE53"/>
  <c r="G54"/>
  <c r="I54"/>
  <c r="P54"/>
  <c r="R54"/>
  <c r="AE54"/>
  <c r="AE56"/>
  <c r="AH56"/>
  <c r="AE58"/>
  <c r="AE60"/>
  <c r="AE61"/>
  <c r="AE62"/>
  <c r="AE64"/>
  <c r="AE67"/>
  <c r="AE68"/>
  <c r="AE69"/>
  <c r="AE70"/>
  <c r="C17" i="20"/>
  <c r="E17"/>
  <c r="G17"/>
  <c r="I17"/>
  <c r="C19"/>
  <c r="E19"/>
  <c r="G19"/>
  <c r="I19"/>
  <c r="C21"/>
  <c r="E21"/>
  <c r="G21"/>
  <c r="I21"/>
  <c r="C26"/>
  <c r="E26"/>
  <c r="G26"/>
  <c r="I26"/>
  <c r="C27"/>
  <c r="C29"/>
  <c r="E29"/>
  <c r="G29"/>
  <c r="I29"/>
  <c r="C37"/>
  <c r="E37"/>
  <c r="G37"/>
  <c r="I37"/>
  <c r="C45"/>
  <c r="E45"/>
  <c r="G45"/>
  <c r="I45"/>
  <c r="C48"/>
  <c r="E48"/>
  <c r="G48"/>
  <c r="I48"/>
  <c r="F19" i="11"/>
  <c r="L19"/>
  <c r="F23"/>
  <c r="L23"/>
  <c r="J43"/>
  <c r="L43"/>
  <c r="J49"/>
  <c r="L49"/>
  <c r="J51"/>
  <c r="L51"/>
  <c r="F54"/>
  <c r="J54"/>
  <c r="L54"/>
  <c r="L61"/>
</calcChain>
</file>

<file path=xl/comments1.xml><?xml version="1.0" encoding="utf-8"?>
<comments xmlns="http://schemas.openxmlformats.org/spreadsheetml/2006/main">
  <authors>
    <author/>
  </authors>
  <commentList>
    <comment ref="P4" authorId="0">
      <text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7"/>
            <rFont val="Tahoma"/>
            <family val="2"/>
          </rPr>
          <t>To find the "Iteration" box, click on "Tools" in the menu row.   Then choose "Options".  Switch to the "Calculations" tab.   The iteration box is located half away on the box.</t>
        </r>
      </text>
    </comment>
    <comment ref="Q11" authorId="0">
      <text>
        <r>
          <rPr>
            <b/>
            <u/>
            <sz val="10"/>
            <color indexed="8"/>
            <rFont val="Arial"/>
            <family val="2"/>
          </rPr>
          <t xml:space="preserve">Reminder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10"/>
            <color indexed="17"/>
            <rFont val="Arial"/>
            <family val="2"/>
          </rPr>
          <t>Don't forget to click the "Update Report" 
button!</t>
        </r>
      </text>
    </comment>
    <comment ref="Q14" authorId="0">
      <text>
        <r>
          <rPr>
            <b/>
            <u/>
            <sz val="10"/>
            <color indexed="8"/>
            <rFont val="Arial"/>
            <family val="2"/>
          </rPr>
          <t xml:space="preserve">Warning
</t>
        </r>
        <r>
          <rPr>
            <b/>
            <sz val="8"/>
            <color indexed="8"/>
            <rFont val="Arial"/>
            <family val="2"/>
          </rPr>
          <t xml:space="preserve">
</t>
        </r>
        <r>
          <rPr>
            <b/>
            <sz val="9"/>
            <color indexed="17"/>
            <rFont val="Arial"/>
            <family val="2"/>
          </rPr>
          <t xml:space="preserve">Sometimes the macro doesn't update the </t>
        </r>
        <r>
          <rPr>
            <b/>
            <u/>
            <sz val="9"/>
            <color indexed="12"/>
            <rFont val="Arial"/>
            <family val="2"/>
          </rPr>
          <t>right header</t>
        </r>
        <r>
          <rPr>
            <b/>
            <sz val="9"/>
            <color indexed="17"/>
            <rFont val="Arial"/>
            <family val="2"/>
          </rPr>
          <t xml:space="preserve"> of </t>
        </r>
        <r>
          <rPr>
            <b/>
            <u/>
            <sz val="9"/>
            <color indexed="12"/>
            <rFont val="Arial"/>
            <family val="2"/>
          </rPr>
          <t>non-jet related</t>
        </r>
        <r>
          <rPr>
            <b/>
            <sz val="9"/>
            <color indexed="17"/>
            <rFont val="Arial"/>
            <family val="2"/>
          </rPr>
          <t xml:space="preserve"> worksheets properly.  If this happens, delete everything in the right header (</t>
        </r>
        <r>
          <rPr>
            <b/>
            <sz val="9"/>
            <color indexed="10"/>
            <rFont val="Arial"/>
            <family val="2"/>
          </rPr>
          <t>only the right header</t>
        </r>
        <r>
          <rPr>
            <b/>
            <sz val="9"/>
            <color indexed="17"/>
            <rFont val="Arial"/>
            <family val="2"/>
          </rPr>
          <t>) and retype the text.   Then re-run the "Update Report" button. This should fix the problem.</t>
        </r>
      </text>
    </comment>
    <comment ref="Q22" authorId="0">
      <text>
        <r>
          <rPr>
            <b/>
            <sz val="10"/>
            <color indexed="17"/>
            <rFont val="Arial"/>
            <family val="2"/>
          </rPr>
          <t xml:space="preserve">
Enter the font size used when the pagesetup is at 100% scale.  The chart below will give you the font size to use for difference pagesetup scales.  </t>
        </r>
        <r>
          <rPr>
            <sz val="10"/>
            <color indexed="17"/>
            <rFont val="Arial"/>
            <family val="2"/>
          </rPr>
          <t xml:space="preserve"> 
</t>
        </r>
        <r>
          <rPr>
            <sz val="10"/>
            <color indexed="18"/>
            <rFont val="Arial"/>
            <family val="2"/>
          </rPr>
          <t>For example, if the font size is 10 at 100%, when you change the pagesetup to 80%, you should use font size 13.</t>
        </r>
      </text>
    </comment>
    <comment ref="P23" authorId="0">
      <text>
        <r>
          <rPr>
            <sz val="8"/>
            <color indexed="17"/>
            <rFont val="Tahoma"/>
            <family val="2"/>
          </rPr>
          <t xml:space="preserve">
</t>
        </r>
        <r>
          <rPr>
            <b/>
            <sz val="10"/>
            <color indexed="17"/>
            <rFont val="Arial"/>
            <family val="2"/>
          </rPr>
          <t>For worksheets that are not at 100% scale, use this chart to determine font size for report titles.  (i.e. Cash &amp; Investment Report, Amortization Schedule)</t>
        </r>
        <r>
          <rPr>
            <b/>
            <sz val="10"/>
            <color indexed="8"/>
            <rFont val="Arial"/>
            <family val="2"/>
          </rPr>
          <t xml:space="preserve">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6" authorId="0">
      <text>
        <r>
          <rPr>
            <b/>
            <sz val="8"/>
            <color indexed="8"/>
            <rFont val="Tahoma"/>
            <family val="2"/>
          </rPr>
          <t xml:space="preserve">elangston:
</t>
        </r>
        <r>
          <rPr>
            <sz val="8"/>
            <color indexed="8"/>
            <rFont val="Tahoma"/>
            <family val="2"/>
          </rPr>
          <t>Per Brock, New product mix as of March 2, 2014</t>
        </r>
      </text>
    </comment>
    <comment ref="AE42" authorId="0">
      <text>
        <r>
          <rPr>
            <b/>
            <sz val="8"/>
            <color indexed="8"/>
            <rFont val="Tahoma"/>
            <family val="2"/>
          </rPr>
          <t xml:space="preserve">ellisk:
</t>
        </r>
        <r>
          <rPr>
            <sz val="8"/>
            <color indexed="8"/>
            <rFont val="Tahoma"/>
            <family val="2"/>
          </rPr>
          <t>according to report it is $60,919.52, gross is $64,808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5" authorId="0">
      <text>
        <r>
          <rPr>
            <b/>
            <sz val="8"/>
            <color indexed="8"/>
            <rFont val="Tahoma"/>
            <family val="2"/>
          </rPr>
          <t xml:space="preserve">elangston:
</t>
        </r>
        <r>
          <rPr>
            <sz val="8"/>
            <color indexed="8"/>
            <rFont val="Tahoma"/>
            <family val="2"/>
          </rPr>
          <t>Per Brock, New product mix as of March 2, 2014</t>
        </r>
      </text>
    </comment>
    <comment ref="AG44" authorId="0">
      <text>
        <r>
          <rPr>
            <b/>
            <sz val="8"/>
            <color indexed="8"/>
            <rFont val="Tahoma"/>
            <family val="2"/>
          </rPr>
          <t xml:space="preserve">ellisk:
</t>
        </r>
        <r>
          <rPr>
            <sz val="8"/>
            <color indexed="8"/>
            <rFont val="Tahoma"/>
            <family val="2"/>
          </rPr>
          <t>according to report it is $60,919.52, gross is $64,808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35" authorId="0">
      <text>
        <r>
          <rPr>
            <b/>
            <sz val="8"/>
            <color indexed="8"/>
            <rFont val="Tahoma"/>
            <family val="2"/>
          </rPr>
          <t xml:space="preserve">elangston:
</t>
        </r>
        <r>
          <rPr>
            <sz val="8"/>
            <color indexed="8"/>
            <rFont val="Tahoma"/>
            <family val="2"/>
          </rPr>
          <t>Per Brock, New product mix as of March 2, 2014</t>
        </r>
      </text>
    </comment>
    <comment ref="AC44" authorId="0">
      <text>
        <r>
          <rPr>
            <b/>
            <sz val="8"/>
            <color indexed="8"/>
            <rFont val="Tahoma"/>
            <family val="2"/>
          </rPr>
          <t xml:space="preserve">ellisk:
</t>
        </r>
        <r>
          <rPr>
            <sz val="8"/>
            <color indexed="8"/>
            <rFont val="Tahoma"/>
            <family val="2"/>
          </rPr>
          <t>according to report it is $60,919.52, gross is $64,808</t>
        </r>
      </text>
    </comment>
  </commentList>
</comments>
</file>

<file path=xl/sharedStrings.xml><?xml version="1.0" encoding="utf-8"?>
<sst xmlns="http://schemas.openxmlformats.org/spreadsheetml/2006/main" count="18681" uniqueCount="7935">
  <si>
    <t>Auto+Hide</t>
  </si>
  <si>
    <t>Modification</t>
  </si>
  <si>
    <t>Version 1</t>
  </si>
  <si>
    <t>first version presented to board</t>
  </si>
  <si>
    <t>Overview</t>
  </si>
  <si>
    <t>Revenue</t>
  </si>
  <si>
    <t>General Fund no increase in assessments</t>
  </si>
  <si>
    <t>reduction in on-roll due revenue to merging of A-2, M, F, and H-2. more acreage</t>
  </si>
  <si>
    <t>and units allocated to off-roll parcels and A-2 and M</t>
  </si>
  <si>
    <t>Added some Facility revenue</t>
  </si>
  <si>
    <t>Assessment Series 2014</t>
  </si>
  <si>
    <t xml:space="preserve">reduction in on-roll due revenue to merging of A-2, M, F, and H-2. </t>
  </si>
  <si>
    <t>More acreage and units allocated to off-roll parcels and A-2 and M</t>
  </si>
  <si>
    <t>Expenditures</t>
  </si>
  <si>
    <t>Administration</t>
  </si>
  <si>
    <t>No increase with Severn Trent Services</t>
  </si>
  <si>
    <t>Insurance increase of 10%</t>
  </si>
  <si>
    <t>Misc.-Assessment Collection Cost increase due to moving assessments to tax collector from direct billed</t>
  </si>
  <si>
    <t xml:space="preserve">Field </t>
  </si>
  <si>
    <t>No changes per Gerhard</t>
  </si>
  <si>
    <t>Landscape Service</t>
  </si>
  <si>
    <t>Contracts-Ground increase due to new neighborhood</t>
  </si>
  <si>
    <t>Utilities</t>
  </si>
  <si>
    <t>Some line items could be reduced</t>
  </si>
  <si>
    <t>O&amp;M Maintenance</t>
  </si>
  <si>
    <t>Contracts Lake and Wetland - service was cancelled with BioTech</t>
  </si>
  <si>
    <t>R&amp;M-Pond new item</t>
  </si>
  <si>
    <t>R&amp;M-Vehicles instead of R&amp;M-Equipment Vehicles</t>
  </si>
  <si>
    <t>OP Supplies - Fuel Oil new item</t>
  </si>
  <si>
    <t>Cap Outlay reduced to keep assessment the same</t>
  </si>
  <si>
    <t>Cap Outlay Vehicles reduced to keep assessment the same</t>
  </si>
  <si>
    <t>Hide</t>
  </si>
  <si>
    <t>Reminder:  Make sure the iteration box is checked at all times.</t>
  </si>
  <si>
    <t>FORMATTING OPTIONS</t>
  </si>
  <si>
    <t>Page Orientation</t>
  </si>
  <si>
    <t>Do Not Change</t>
  </si>
  <si>
    <t>Header Format</t>
  </si>
  <si>
    <t>Align Left</t>
  </si>
  <si>
    <t>Portrait</t>
  </si>
  <si>
    <t>CoverTitle</t>
  </si>
  <si>
    <t>Landscape</t>
  </si>
  <si>
    <t>CoverTitle2</t>
  </si>
  <si>
    <t>Version 1 - Proposed Budget:</t>
  </si>
  <si>
    <t>(Printed on 5/9/16)</t>
  </si>
  <si>
    <t>OVERRIDE DISTRICT NAME</t>
  </si>
  <si>
    <t>Align Center</t>
  </si>
  <si>
    <t>Align Other</t>
  </si>
  <si>
    <t>No Header</t>
  </si>
  <si>
    <t>Font  Conversion Chart</t>
  </si>
  <si>
    <t>Scale %</t>
  </si>
  <si>
    <t>Font Size</t>
  </si>
  <si>
    <t>Prepared by:</t>
  </si>
  <si>
    <t>Auto+Hide+Lock+Formulas=Sheet2,Sheet9,Sheet10</t>
  </si>
  <si>
    <t>Hide+?</t>
  </si>
  <si>
    <t>Hidesheet</t>
  </si>
  <si>
    <t>naturals</t>
  </si>
  <si>
    <t>02/29/16</t>
  </si>
  <si>
    <t>HARMONY CDD</t>
  </si>
  <si>
    <t>This sheet eliminated funds that have no activity</t>
  </si>
  <si>
    <t>Actual</t>
  </si>
  <si>
    <t>001..299|400..450</t>
  </si>
  <si>
    <t>9999</t>
  </si>
  <si>
    <t>Show</t>
  </si>
  <si>
    <t>FIT</t>
  </si>
  <si>
    <t>Balance Sheet</t>
  </si>
  <si>
    <t>Fund No.</t>
  </si>
  <si>
    <t>Assets</t>
  </si>
  <si>
    <t>Liability</t>
  </si>
  <si>
    <t>Equity</t>
  </si>
  <si>
    <t>Rev/Exp</t>
  </si>
  <si>
    <t>Funds</t>
  </si>
  <si>
    <t>100000..199999</t>
  </si>
  <si>
    <t>200000..239999</t>
  </si>
  <si>
    <t>240000..299999</t>
  </si>
  <si>
    <t>300000..599999</t>
  </si>
  <si>
    <t>001</t>
  </si>
  <si>
    <t>Auto</t>
  </si>
  <si>
    <t>001|..|202|203|204|..|</t>
  </si>
  <si>
    <t>To be reclassed</t>
  </si>
  <si>
    <t>To be reclassed/</t>
  </si>
  <si>
    <t>Auto+Hide+Hidesheet+Values+Formulas=Sheet3,Sheet11,Sheet12</t>
  </si>
  <si>
    <t>Title</t>
  </si>
  <si>
    <t>Value</t>
  </si>
  <si>
    <t>Lookup</t>
  </si>
  <si>
    <t>Option</t>
  </si>
  <si>
    <t>Company</t>
  </si>
  <si>
    <t>New Budget Fiscal Year</t>
  </si>
  <si>
    <t>Actual Date</t>
  </si>
  <si>
    <t># of PY Actuals (max - 4)</t>
  </si>
  <si>
    <t># of PY Budgets (max -2)</t>
  </si>
  <si>
    <t>Balance Budget</t>
  </si>
  <si>
    <t>Yes</t>
  </si>
  <si>
    <t>No</t>
  </si>
  <si>
    <t>Copy Adopted budget to proposed</t>
  </si>
  <si>
    <t>Hide Projected Totals</t>
  </si>
  <si>
    <t>Show Account #</t>
  </si>
  <si>
    <t>Show Total w/o Reserves</t>
  </si>
  <si>
    <t>Show COGS</t>
  </si>
  <si>
    <t>Sub Account</t>
  </si>
  <si>
    <t>*</t>
  </si>
  <si>
    <t>Budget Worksheet</t>
  </si>
  <si>
    <t>Balance Sheet - GASB 54</t>
  </si>
  <si>
    <t>Subtotal Revenue</t>
  </si>
  <si>
    <t>Table of Contents</t>
  </si>
  <si>
    <t>Page #</t>
  </si>
  <si>
    <t>General Fund</t>
  </si>
  <si>
    <t>Summary of Revenues, Expenditures and Changes in Fund Balances</t>
  </si>
  <si>
    <t>……………………</t>
  </si>
  <si>
    <t>1-3</t>
  </si>
  <si>
    <t>Exhibit A - Allocation of Fund Balances</t>
  </si>
  <si>
    <t>……………………………………………………………</t>
  </si>
  <si>
    <t>4</t>
  </si>
  <si>
    <t>Budget Narrative</t>
  </si>
  <si>
    <t>…………………………………………………………………………………</t>
  </si>
  <si>
    <t>5-10</t>
  </si>
  <si>
    <t>DEBT SERVICE BUDGETS</t>
  </si>
  <si>
    <t>Series 2014</t>
  </si>
  <si>
    <t>11</t>
  </si>
  <si>
    <t>Amortization Schedule</t>
  </si>
  <si>
    <t>………………………………………………………………………………</t>
  </si>
  <si>
    <t>12</t>
  </si>
  <si>
    <t>Series 2015</t>
  </si>
  <si>
    <t>13</t>
  </si>
  <si>
    <t>14</t>
  </si>
  <si>
    <t>………………………………………………………………………………………..</t>
  </si>
  <si>
    <t>15</t>
  </si>
  <si>
    <t>SUPPORTING BUDGET SCHEDULES</t>
  </si>
  <si>
    <t>2017 -2016 Non-Ad Valorem Assessment Summary</t>
  </si>
  <si>
    <t>………………………………………………</t>
  </si>
  <si>
    <t>16-17</t>
  </si>
  <si>
    <t xml:space="preserve"> </t>
  </si>
  <si>
    <t>Budget Overview</t>
  </si>
  <si>
    <t>Operating Budget</t>
  </si>
  <si>
    <t>Debt Service Budgets</t>
  </si>
  <si>
    <t>Supporting Budget Schedules</t>
  </si>
  <si>
    <t>Harmony</t>
  </si>
  <si>
    <t>Community Development District</t>
  </si>
  <si>
    <t>2016-2017 Non-Ad Valorem Assessment Summary</t>
  </si>
  <si>
    <t>Assumption</t>
  </si>
  <si>
    <t>Summary of Assessment Rates</t>
  </si>
  <si>
    <t>GF allocation is based on same allocation as DS</t>
  </si>
  <si>
    <t>DS for 2014 Bond is based on MADS</t>
  </si>
  <si>
    <t>O&amp;M</t>
  </si>
  <si>
    <t>DS for 2015 Bond is based on MADS</t>
  </si>
  <si>
    <t>Platted</t>
  </si>
  <si>
    <t>O&amp; M</t>
  </si>
  <si>
    <t>Series 2014 Debt Service</t>
  </si>
  <si>
    <t>Series 2015 Debt Service</t>
  </si>
  <si>
    <t>Total</t>
  </si>
  <si>
    <t>Calcs for</t>
  </si>
  <si>
    <t xml:space="preserve">Total </t>
  </si>
  <si>
    <t>= Total Exped. - Interest - Misc-Assessmnt Collection Cost</t>
  </si>
  <si>
    <t>Series 2004 will continue to collect actual assessments per acre with a fixed amount to the golf course</t>
  </si>
  <si>
    <t>FY 2017</t>
  </si>
  <si>
    <t>FY 2016</t>
  </si>
  <si>
    <t>% Change</t>
  </si>
  <si>
    <t xml:space="preserve">Original </t>
  </si>
  <si>
    <t>Lots Size</t>
  </si>
  <si>
    <t>Acres</t>
  </si>
  <si>
    <t xml:space="preserve">Remaining </t>
  </si>
  <si>
    <t>Remaining Acreage</t>
  </si>
  <si>
    <t>Neighborhood</t>
  </si>
  <si>
    <t>Type</t>
  </si>
  <si>
    <t>Width</t>
  </si>
  <si>
    <t>O &amp; M</t>
  </si>
  <si>
    <t>(Decrease)/ Increase</t>
  </si>
  <si>
    <t>Debt Service</t>
  </si>
  <si>
    <t>(Decrease)</t>
  </si>
  <si>
    <t>Units</t>
  </si>
  <si>
    <t>FF</t>
  </si>
  <si>
    <t>Acreage</t>
  </si>
  <si>
    <t>per acre</t>
  </si>
  <si>
    <t>Prepaids</t>
  </si>
  <si>
    <t>Prepaid</t>
  </si>
  <si>
    <t>for 2004 Bond</t>
  </si>
  <si>
    <t>GF</t>
  </si>
  <si>
    <t>DS1</t>
  </si>
  <si>
    <t>DS2</t>
  </si>
  <si>
    <t>GROSS</t>
  </si>
  <si>
    <t>2014 DS Meth</t>
  </si>
  <si>
    <t xml:space="preserve">Units according </t>
  </si>
  <si>
    <t>Report</t>
  </si>
  <si>
    <t>to Meth Report</t>
  </si>
  <si>
    <t>Variance</t>
  </si>
  <si>
    <t>$ Variance</t>
  </si>
  <si>
    <t>A-1</t>
  </si>
  <si>
    <t>MF</t>
  </si>
  <si>
    <t>n/a</t>
  </si>
  <si>
    <t>B</t>
  </si>
  <si>
    <t>SF</t>
  </si>
  <si>
    <t>C</t>
  </si>
  <si>
    <t>E</t>
  </si>
  <si>
    <t>G</t>
  </si>
  <si>
    <t>H</t>
  </si>
  <si>
    <t>C-1</t>
  </si>
  <si>
    <t>C-2</t>
  </si>
  <si>
    <t>D-1</t>
  </si>
  <si>
    <t>D-2</t>
  </si>
  <si>
    <t>Custom</t>
  </si>
  <si>
    <t>H-1</t>
  </si>
  <si>
    <t>TH</t>
  </si>
  <si>
    <t>th</t>
  </si>
  <si>
    <t>H-2/F</t>
  </si>
  <si>
    <t>N/A</t>
  </si>
  <si>
    <t>Office</t>
  </si>
  <si>
    <t>GC</t>
  </si>
  <si>
    <t>Golf Course</t>
  </si>
  <si>
    <t xml:space="preserve">DS per Meth </t>
  </si>
  <si>
    <t>Unplatted</t>
  </si>
  <si>
    <t>2014 DS per Table</t>
  </si>
  <si>
    <t>less $ Variance</t>
  </si>
  <si>
    <t>A-2/M</t>
  </si>
  <si>
    <t>I/J/K/L/O</t>
  </si>
  <si>
    <t>TC</t>
  </si>
  <si>
    <t>Town Center</t>
  </si>
  <si>
    <t>Comm</t>
  </si>
  <si>
    <t>*** Prior assessments not reflected in table as these parcels have been combined, therefore prior assessments are no longer applicable</t>
  </si>
  <si>
    <t>variance</t>
  </si>
  <si>
    <t>For A-2, H-2. F, and M- All parcels have been merged</t>
  </si>
  <si>
    <t>On</t>
  </si>
  <si>
    <t xml:space="preserve">As lots are added to tax roll, acreage must be proportionally deducted from 45.56 </t>
  </si>
  <si>
    <t>Off</t>
  </si>
  <si>
    <t>to ensure O&amp;M stays the same otal acres divide by number of units</t>
  </si>
  <si>
    <t>MADS Includes gross Office and GC on roll</t>
  </si>
  <si>
    <t>Budget</t>
  </si>
  <si>
    <t xml:space="preserve">DS Levied   </t>
  </si>
  <si>
    <t xml:space="preserve">  DS Levied</t>
  </si>
  <si>
    <t xml:space="preserve">gross up  </t>
  </si>
  <si>
    <t xml:space="preserve">  gross up</t>
  </si>
  <si>
    <t xml:space="preserve">interest  </t>
  </si>
  <si>
    <t xml:space="preserve">  interest</t>
  </si>
  <si>
    <t xml:space="preserve">2001 ANNUAL DS  </t>
  </si>
  <si>
    <t xml:space="preserve">  2004 ANNUAL DS</t>
  </si>
  <si>
    <t>Auto+Hide+Values+Formulas=Sheet4,Sheet13,Sheet14</t>
  </si>
  <si>
    <t>Keyname+Hide</t>
  </si>
  <si>
    <t>Key+Hide</t>
  </si>
  <si>
    <t>Data</t>
  </si>
  <si>
    <t>HIDE</t>
  </si>
  <si>
    <t>Year</t>
  </si>
  <si>
    <t>FY_End_date</t>
  </si>
  <si>
    <t>FY_begin_Date</t>
  </si>
  <si>
    <t>10/1/2011..9/30/2012</t>
  </si>
  <si>
    <t>10/1/2012..9/30/2013</t>
  </si>
  <si>
    <t>10/1/2013..9/30/2014</t>
  </si>
  <si>
    <t>10/1/2014..9/30/2015</t>
  </si>
  <si>
    <t>10/1/2015..9/30/2016</t>
  </si>
  <si>
    <t>3/1/2016..9/30/2016</t>
  </si>
  <si>
    <t>10/1/2016..9/30/2017</t>
  </si>
  <si>
    <t>Budget Fiscal Year</t>
  </si>
  <si>
    <t>2017</t>
  </si>
  <si>
    <t>Locked Date</t>
  </si>
  <si>
    <t>ACTUAL</t>
  </si>
  <si>
    <t>BUDGET</t>
  </si>
  <si>
    <t>No.</t>
  </si>
  <si>
    <t>10/1/2010..9/30/2017</t>
  </si>
  <si>
    <t>District Name</t>
  </si>
  <si>
    <t>Show Ttl w/o reserves</t>
  </si>
  <si>
    <t>10/1/2014..9/30/2017</t>
  </si>
  <si>
    <t>PY_actuals</t>
  </si>
  <si>
    <t>Today's Date</t>
  </si>
  <si>
    <t>Budget Plan No.</t>
  </si>
  <si>
    <t>Department</t>
  </si>
  <si>
    <t>PY_budgets</t>
  </si>
  <si>
    <t>Transaction Type</t>
  </si>
  <si>
    <t>Hide Proj Total</t>
  </si>
  <si>
    <t>DistrictName</t>
  </si>
  <si>
    <t>Show Gl</t>
  </si>
  <si>
    <t>DistrictType</t>
  </si>
  <si>
    <t>Bal Bud</t>
  </si>
  <si>
    <t>Subacct</t>
  </si>
  <si>
    <t>Include nav bal</t>
  </si>
  <si>
    <t>Summary of Revenues, Expenses and Changes in Net Assets</t>
  </si>
  <si>
    <t>Budget Draft</t>
  </si>
  <si>
    <t>Field Names</t>
  </si>
  <si>
    <t>SUBACCT</t>
  </si>
  <si>
    <t>G/L Account No.</t>
  </si>
  <si>
    <t>Orgunit code</t>
  </si>
  <si>
    <t>subacct</t>
  </si>
  <si>
    <t>Fund Code</t>
  </si>
  <si>
    <t>ColumnNo</t>
  </si>
  <si>
    <t>Col1</t>
  </si>
  <si>
    <t>Col2</t>
  </si>
  <si>
    <t>Col3</t>
  </si>
  <si>
    <t>reporttitle1</t>
  </si>
  <si>
    <t>reporttitle2</t>
  </si>
  <si>
    <t>reporttitle3</t>
  </si>
  <si>
    <t>THIS TEMPLATE IS ONLY INTENDED TO BE USED AS A BUDGETING WORKSHEET</t>
  </si>
  <si>
    <t xml:space="preserve">ACTUAL </t>
  </si>
  <si>
    <t>PROJECTED</t>
  </si>
  <si>
    <t>TOTAL</t>
  </si>
  <si>
    <t>NAVIGATOR</t>
  </si>
  <si>
    <t>ANNUAL</t>
  </si>
  <si>
    <t>Account</t>
  </si>
  <si>
    <t xml:space="preserve">BUDGET </t>
  </si>
  <si>
    <t>THRU</t>
  </si>
  <si>
    <t>June thru</t>
  </si>
  <si>
    <t>BALANCE</t>
  </si>
  <si>
    <t>Keyname</t>
  </si>
  <si>
    <t>Date</t>
  </si>
  <si>
    <t>#</t>
  </si>
  <si>
    <t>ACCOUNT DESCRIPTION</t>
  </si>
  <si>
    <t>TEST</t>
  </si>
  <si>
    <t>May – 2016</t>
  </si>
  <si>
    <t>EoFY – 2016</t>
  </si>
  <si>
    <t>FY-2016</t>
  </si>
  <si>
    <t>NOTES</t>
  </si>
  <si>
    <t>Remindermessage</t>
  </si>
  <si>
    <t>REMINDER! - Run the "Update Report" Macro.</t>
  </si>
  <si>
    <t>Interest - Investments</t>
  </si>
  <si>
    <t>347005</t>
  </si>
  <si>
    <t>Soccer Fees</t>
  </si>
  <si>
    <t>Data+Auto</t>
  </si>
  <si>
    <t>Judgements and Fines</t>
  </si>
  <si>
    <t>Interest - Tax Collector</t>
  </si>
  <si>
    <t>Special Assmnts- Tax Collector</t>
  </si>
  <si>
    <t>Special Assmnts- Prepayment</t>
  </si>
  <si>
    <t>Special Assmnts- CDD Collected</t>
  </si>
  <si>
    <t>Special Assmnts- Delinquent</t>
  </si>
  <si>
    <t>Special Assmnts- Discounts</t>
  </si>
  <si>
    <t>Sale of Surplus Equipment</t>
  </si>
  <si>
    <t>Developer Contribution</t>
  </si>
  <si>
    <t>Settlements</t>
  </si>
  <si>
    <t>Other Miscellaneous Revenues</t>
  </si>
  <si>
    <t>Gate Bar Code/Remotes</t>
  </si>
  <si>
    <t>Access Cards</t>
  </si>
  <si>
    <t>Facility Revenue</t>
  </si>
  <si>
    <t>Facility Membership Fee</t>
  </si>
  <si>
    <t>AB</t>
  </si>
  <si>
    <t>AB1</t>
  </si>
  <si>
    <t>ACT</t>
  </si>
  <si>
    <t>PROJ</t>
  </si>
  <si>
    <t>NAV</t>
  </si>
  <si>
    <t>NEW AB</t>
  </si>
  <si>
    <t>Projected Budget Delta</t>
  </si>
  <si>
    <r>
      <t>(under)</t>
    </r>
    <r>
      <rPr>
        <b/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 xml:space="preserve">over </t>
    </r>
    <r>
      <rPr>
        <b/>
        <sz val="10"/>
        <rFont val="Arial"/>
        <family val="2"/>
      </rPr>
      <t>forecast revenue</t>
    </r>
  </si>
  <si>
    <t>COST OF GOODS SOLD</t>
  </si>
  <si>
    <t>51000..51699</t>
  </si>
  <si>
    <t>511001</t>
  </si>
  <si>
    <t>P/R-Board of Supervisors</t>
  </si>
  <si>
    <t>FICA Taxes</t>
  </si>
  <si>
    <t>ProfServ-Arbitrage Rebate</t>
  </si>
  <si>
    <t>ProfServ-Dissemination Agent</t>
  </si>
  <si>
    <t>ProfServ-Engineering</t>
  </si>
  <si>
    <t>ProfServ-Legal Services</t>
  </si>
  <si>
    <t>Increase $5000 based on history</t>
  </si>
  <si>
    <t>ProfServ-Mgmt Consulting Serv</t>
  </si>
  <si>
    <t>ProfServ-Property Appraiser</t>
  </si>
  <si>
    <t>ProfServ-Special Assessment</t>
  </si>
  <si>
    <t>ProfServ-Trustee Fees</t>
  </si>
  <si>
    <t>Auditing Services</t>
  </si>
  <si>
    <t>Communication - Telephone</t>
  </si>
  <si>
    <t>Postage and Freight</t>
  </si>
  <si>
    <t>Rental - Meeting Room</t>
  </si>
  <si>
    <t>Insurance - General Liability</t>
  </si>
  <si>
    <t>Printing and Binding</t>
  </si>
  <si>
    <t>Legal Advertising</t>
  </si>
  <si>
    <t>Miscellaneous Services</t>
  </si>
  <si>
    <t>Misc-Records Storage</t>
  </si>
  <si>
    <t>Misc-Assessmnt Collection Cost</t>
  </si>
  <si>
    <t>Misc-Contingency</t>
  </si>
  <si>
    <t>Office Supplies</t>
  </si>
  <si>
    <t>Annual District Filing Fee</t>
  </si>
  <si>
    <t>Capital Outlay</t>
  </si>
  <si>
    <r>
      <t>(over)</t>
    </r>
    <r>
      <rPr>
        <b/>
        <sz val="9"/>
        <rFont val="Arial"/>
        <family val="2"/>
      </rPr>
      <t xml:space="preserve"> </t>
    </r>
    <r>
      <rPr>
        <b/>
        <sz val="9"/>
        <color indexed="12"/>
        <rFont val="Arial"/>
        <family val="2"/>
      </rPr>
      <t xml:space="preserve">under </t>
    </r>
    <r>
      <rPr>
        <b/>
        <sz val="9"/>
        <rFont val="Arial"/>
        <family val="2"/>
      </rPr>
      <t>forecast expense</t>
    </r>
  </si>
  <si>
    <t>51800..57999|58001|99999</t>
  </si>
  <si>
    <t>ORGUNIT</t>
  </si>
  <si>
    <t>52901</t>
  </si>
  <si>
    <t>Other Public Safety</t>
  </si>
  <si>
    <t>531013</t>
  </si>
  <si>
    <t>Field</t>
  </si>
  <si>
    <t>512001</t>
  </si>
  <si>
    <t>Payroll-Salaries</t>
  </si>
  <si>
    <t>ProfServ-Coding Ordinance</t>
  </si>
  <si>
    <t>ProfServ-Field Management</t>
  </si>
  <si>
    <t>Utility - Meter Reading</t>
  </si>
  <si>
    <t>R&amp;M-Common Area</t>
  </si>
  <si>
    <t>R&amp;M-Pools</t>
  </si>
  <si>
    <t>R&amp;M-Sidewalks</t>
  </si>
  <si>
    <t>Cap Outlay - Other</t>
  </si>
  <si>
    <t>Landscape Services</t>
  </si>
  <si>
    <t>534085</t>
  </si>
  <si>
    <t>Contracts-Trees &amp; Trimming</t>
  </si>
  <si>
    <t>Contracts-Ground Maintenance</t>
  </si>
  <si>
    <t>Contracts-Shrub Care</t>
  </si>
  <si>
    <t>Contracts-Ground</t>
  </si>
  <si>
    <t>Contracts-Turf Care</t>
  </si>
  <si>
    <t>Increased</t>
  </si>
  <si>
    <t>Utility - Refuse Removal</t>
  </si>
  <si>
    <t>R&amp;M-Equipment</t>
  </si>
  <si>
    <t>R&amp;M-Flowers</t>
  </si>
  <si>
    <t>R&amp;M-Fountain</t>
  </si>
  <si>
    <t>R&amp;M-Grounds</t>
  </si>
  <si>
    <t>R&amp;M-Irrigation</t>
  </si>
  <si>
    <t>Decreased</t>
  </si>
  <si>
    <t>R&amp;M-Streetlighting Equipment</t>
  </si>
  <si>
    <t>R&amp;M-Tree Trimming Services</t>
  </si>
  <si>
    <t>R&amp;M-Trees and Trimming</t>
  </si>
  <si>
    <t>R&amp;M-Turf Care</t>
  </si>
  <si>
    <t>R&amp;M-Shrub Care</t>
  </si>
  <si>
    <t>R&amp;M-Landscape Parc D-1 Park</t>
  </si>
  <si>
    <t>Misc-Employee Meals</t>
  </si>
  <si>
    <t>543006</t>
  </si>
  <si>
    <t>Electricity - General</t>
  </si>
  <si>
    <t>Electricity - Streetlighting</t>
  </si>
  <si>
    <t>Utility - Water &amp; Sewer</t>
  </si>
  <si>
    <t>Lease - Street Light</t>
  </si>
  <si>
    <t>R&amp;M-Aquascaping</t>
  </si>
  <si>
    <t>Cap Outlay - Streetlights</t>
  </si>
  <si>
    <t>Operation &amp; Maintenance</t>
  </si>
  <si>
    <t>531016</t>
  </si>
  <si>
    <t xml:space="preserve">Contracts-Lake and Wetland </t>
  </si>
  <si>
    <t>Expense Reimbursement</t>
  </si>
  <si>
    <t>R&amp;M-Renewal and Replacement</t>
  </si>
  <si>
    <t>R&amp;M-Clubhouse</t>
  </si>
  <si>
    <t>R&amp;M-Lake Bank Reserve</t>
  </si>
  <si>
    <t>R&amp;M-Ponds</t>
  </si>
  <si>
    <t>R&amp;M-Roads &amp; Alleyways</t>
  </si>
  <si>
    <t>R&amp;M-Vehicles</t>
  </si>
  <si>
    <t>R&amp;M-Parks &amp; Amenities</t>
  </si>
  <si>
    <t>R&amp;M-Equipment Boats</t>
  </si>
  <si>
    <t>R&amp;M-Equipment Vehicles</t>
  </si>
  <si>
    <t>R&amp;M-Parks &amp; Facilities</t>
  </si>
  <si>
    <t>R&amp;M-Hardscape Cleaning</t>
  </si>
  <si>
    <t>R&amp;M-Irrigation Valve</t>
  </si>
  <si>
    <t>Misc-Property Taxes</t>
  </si>
  <si>
    <t>Misc-Licenses &amp; Permits</t>
  </si>
  <si>
    <t>Misc-Water Pressure Project</t>
  </si>
  <si>
    <t>Misc-Access Cards&amp;Equipment</t>
  </si>
  <si>
    <t>Misc-Security Enhancements</t>
  </si>
  <si>
    <t>Op Supplies - Fuel, Oil</t>
  </si>
  <si>
    <t>Cap Outlay - Recreation Impr</t>
  </si>
  <si>
    <t>Cap Outlay - Vehicles</t>
  </si>
  <si>
    <t>Parks and Recreation - General</t>
  </si>
  <si>
    <t>546135</t>
  </si>
  <si>
    <t>Swimming Pool</t>
  </si>
  <si>
    <t>549015</t>
  </si>
  <si>
    <t>Tennis Court</t>
  </si>
  <si>
    <t>TOTAL FOR O&amp;M</t>
  </si>
  <si>
    <t>565000..565999</t>
  </si>
  <si>
    <t>Construction In Progress</t>
  </si>
  <si>
    <t>Total Construction In Progress</t>
  </si>
  <si>
    <t>51700..51799</t>
  </si>
  <si>
    <t>572001</t>
  </si>
  <si>
    <t>Interest Expense</t>
  </si>
  <si>
    <t>Total Debt Service</t>
  </si>
  <si>
    <t>Reserves</t>
  </si>
  <si>
    <t>568130</t>
  </si>
  <si>
    <t>Reserve - Renewal&amp;Replacement</t>
  </si>
  <si>
    <t>Total Reserves</t>
  </si>
  <si>
    <r>
      <t>(over)</t>
    </r>
    <r>
      <rPr>
        <b/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 xml:space="preserve">under </t>
    </r>
    <r>
      <rPr>
        <b/>
        <sz val="10"/>
        <rFont val="Arial"/>
        <family val="2"/>
      </rPr>
      <t>forecast expense</t>
    </r>
  </si>
  <si>
    <r>
      <t xml:space="preserve">Expenses </t>
    </r>
    <r>
      <rPr>
        <b/>
        <sz val="10"/>
        <color indexed="10"/>
        <rFont val="Arial"/>
        <family val="2"/>
      </rPr>
      <t>(Over)</t>
    </r>
    <r>
      <rPr>
        <b/>
        <sz val="10"/>
        <rFont val="Arial"/>
        <family val="2"/>
      </rPr>
      <t xml:space="preserve"> / </t>
    </r>
    <r>
      <rPr>
        <b/>
        <sz val="10"/>
        <color indexed="12"/>
        <rFont val="Arial"/>
        <family val="2"/>
      </rPr>
      <t>Under</t>
    </r>
    <r>
      <rPr>
        <b/>
        <sz val="10"/>
        <rFont val="Arial"/>
        <family val="2"/>
      </rPr>
      <t xml:space="preserve"> Revenues</t>
    </r>
  </si>
  <si>
    <t>370000..381499|381551..390999|391001..399998|580000..590549|590551..599999</t>
  </si>
  <si>
    <t>OTHER FINANCING SOURCES (USES)</t>
  </si>
  <si>
    <t>381000</t>
  </si>
  <si>
    <t>Interfund Transfer - In</t>
  </si>
  <si>
    <t>Sale of General Capital Assets</t>
  </si>
  <si>
    <t>Operating Transfers-Out</t>
  </si>
  <si>
    <t>Contribution to (Use of) Fund Balance</t>
  </si>
  <si>
    <t>TOTAL OTHER SOURCES (USES)</t>
  </si>
  <si>
    <t>240001..299997</t>
  </si>
  <si>
    <t>Fund balance - audit adjustments</t>
  </si>
  <si>
    <t>Rounding</t>
  </si>
  <si>
    <t>Check Totals (rev,expense,other)</t>
  </si>
  <si>
    <t>300000..369999</t>
  </si>
  <si>
    <t>500000..579999</t>
  </si>
  <si>
    <t>240001..299997|300000..599999</t>
  </si>
  <si>
    <t>Amended</t>
  </si>
  <si>
    <t>Interest Income</t>
  </si>
  <si>
    <t>Miscellaneous</t>
  </si>
  <si>
    <t>Contingency</t>
  </si>
  <si>
    <t>50000..599999</t>
  </si>
  <si>
    <t>Fund Balance - Beg Bal</t>
  </si>
  <si>
    <t>Ending Balance Delta</t>
  </si>
  <si>
    <r>
      <t>(worse)</t>
    </r>
    <r>
      <rPr>
        <b/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better</t>
    </r>
    <r>
      <rPr>
        <b/>
        <sz val="10"/>
        <rFont val="Arial"/>
        <family val="2"/>
      </rPr>
      <t xml:space="preserve"> than projected</t>
    </r>
  </si>
  <si>
    <t>Assessments Impact Test</t>
  </si>
  <si>
    <t>Post Review</t>
  </si>
  <si>
    <t>Pre-Review</t>
  </si>
  <si>
    <t>Difference</t>
  </si>
  <si>
    <t>Percent</t>
  </si>
  <si>
    <r>
      <t>(</t>
    </r>
    <r>
      <rPr>
        <b/>
        <sz val="10"/>
        <color indexed="10"/>
        <rFont val="Arial"/>
        <family val="2"/>
      </rPr>
      <t>+</t>
    </r>
    <r>
      <rPr>
        <b/>
        <sz val="10"/>
        <rFont val="Arial"/>
        <family val="2"/>
      </rPr>
      <t>/</t>
    </r>
    <r>
      <rPr>
        <b/>
        <sz val="10"/>
        <color indexed="12"/>
        <rFont val="Arial"/>
        <family val="2"/>
      </rPr>
      <t>-</t>
    </r>
    <r>
      <rPr>
        <b/>
        <sz val="10"/>
        <rFont val="Arial"/>
        <family val="2"/>
      </rPr>
      <t>) (</t>
    </r>
    <r>
      <rPr>
        <b/>
        <sz val="10"/>
        <color indexed="10"/>
        <rFont val="Arial"/>
        <family val="2"/>
      </rPr>
      <t>increase</t>
    </r>
    <r>
      <rPr>
        <b/>
        <sz val="10"/>
        <rFont val="Arial"/>
        <family val="2"/>
      </rPr>
      <t>/</t>
    </r>
    <r>
      <rPr>
        <b/>
        <sz val="10"/>
        <color indexed="12"/>
        <rFont val="Arial"/>
        <family val="2"/>
      </rPr>
      <t>decrease</t>
    </r>
    <r>
      <rPr>
        <b/>
        <sz val="10"/>
        <rFont val="Arial"/>
        <family val="2"/>
      </rPr>
      <t>) in assessments</t>
    </r>
  </si>
  <si>
    <t>Auto+Hide+Values+Formulas=Sheet5,Sheet13,Sheet14+AutoSheet</t>
  </si>
  <si>
    <t>02/29/2016</t>
  </si>
  <si>
    <t>2001 Debt Service Fund</t>
  </si>
  <si>
    <t>363010</t>
  </si>
  <si>
    <t>Special Assmnts- Other</t>
  </si>
  <si>
    <t>549070</t>
  </si>
  <si>
    <t>571001</t>
  </si>
  <si>
    <t>Principal Debt Retirement</t>
  </si>
  <si>
    <t>Principal Prepayments</t>
  </si>
  <si>
    <t>DS Costs-Miscellaneous</t>
  </si>
  <si>
    <t>Pymt to Escrow Acct-Refunding</t>
  </si>
  <si>
    <t>Other NonOperating Uses</t>
  </si>
  <si>
    <t>Auto+Hide+Values</t>
  </si>
  <si>
    <t>hide</t>
  </si>
  <si>
    <r>
      <t xml:space="preserve">FY2017 </t>
    </r>
    <r>
      <rPr>
        <b/>
        <sz val="12"/>
        <rFont val="Arial"/>
        <family val="2"/>
      </rPr>
      <t>Exhibit "A"</t>
    </r>
  </si>
  <si>
    <r>
      <t xml:space="preserve">Allocation of </t>
    </r>
    <r>
      <rPr>
        <b/>
        <sz val="12"/>
        <rFont val="Arial"/>
        <family val="2"/>
      </rPr>
      <t>General</t>
    </r>
    <r>
      <rPr>
        <sz val="12"/>
        <rFont val="Arial"/>
        <family val="2"/>
      </rPr>
      <t xml:space="preserve"> Fund Balances</t>
    </r>
  </si>
  <si>
    <t>Amount</t>
  </si>
  <si>
    <t>Comments</t>
  </si>
  <si>
    <t>AVAILABLE FUNDS</t>
  </si>
  <si>
    <t>Original</t>
  </si>
  <si>
    <t>Delta</t>
  </si>
  <si>
    <t>Nonspendable Fund Balance</t>
  </si>
  <si>
    <t>Prepaid Items</t>
  </si>
  <si>
    <t>Deposits</t>
  </si>
  <si>
    <t>Inventories</t>
  </si>
  <si>
    <t>Subtotal</t>
  </si>
  <si>
    <t>Restricted Fund Balance</t>
  </si>
  <si>
    <t>Debt Service - Series XXXX</t>
  </si>
  <si>
    <t xml:space="preserve">  </t>
  </si>
  <si>
    <t>Committed Fund Balance</t>
  </si>
  <si>
    <t>Capital Project - Series XXXX</t>
  </si>
  <si>
    <t>Assigned Fund Balance</t>
  </si>
  <si>
    <t>Operating Reserve - First Quarter Operating Capital</t>
  </si>
  <si>
    <t>(1)</t>
  </si>
  <si>
    <t>Reserves - Insurance</t>
  </si>
  <si>
    <t xml:space="preserve">Reserves - Renewal &amp; Replacement </t>
  </si>
  <si>
    <t>Reserves – Streetlights</t>
  </si>
  <si>
    <t>Total Allocation of Available Funds</t>
  </si>
  <si>
    <r>
      <t xml:space="preserve">Total </t>
    </r>
    <r>
      <rPr>
        <b/>
        <sz val="9"/>
        <color indexed="12"/>
        <rFont val="Arial"/>
        <family val="2"/>
      </rPr>
      <t>Unassigned</t>
    </r>
    <r>
      <rPr>
        <b/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(Overassigned)</t>
    </r>
    <r>
      <rPr>
        <b/>
        <sz val="9"/>
        <rFont val="Arial"/>
        <family val="2"/>
      </rPr>
      <t xml:space="preserve"> Cash</t>
    </r>
  </si>
  <si>
    <t>Notes</t>
  </si>
  <si>
    <r>
      <t>Difference</t>
    </r>
    <r>
      <rPr>
        <sz val="9"/>
        <rFont val="Arial"/>
        <family val="2"/>
      </rPr>
      <t>: Loans1-to-4 versus Loans5&amp;6</t>
    </r>
  </si>
  <si>
    <t>(1) Represents approximately 2 months of operating expenditures</t>
  </si>
  <si>
    <r>
      <t>Difference</t>
    </r>
    <r>
      <rPr>
        <sz val="9"/>
        <rFont val="Arial"/>
        <family val="2"/>
      </rPr>
      <t>: All Other Than Loan Selection</t>
    </r>
  </si>
  <si>
    <t>Auto+Hide+Values+Formulas=Sheet6,Sheet13,Sheet14+AutoSheet</t>
  </si>
  <si>
    <t>2004 Debt Service Fund</t>
  </si>
  <si>
    <t>361004</t>
  </si>
  <si>
    <t>Net Incr (Decr) In FMV-Invest</t>
  </si>
  <si>
    <t>Auto+Hide+Values+Formulas=Sheet15,Sheet13,Sheet14+AutoSheet</t>
  </si>
  <si>
    <t>2014 Debt Service Fund</t>
  </si>
  <si>
    <t xml:space="preserve">*Note: reduction in on-roll revenue due to merging of A-2, M, F, &amp; H-2. </t>
  </si>
  <si>
    <t xml:space="preserve"> More acreage and units allocated to off-roll parcels and to A-2 &amp; M</t>
  </si>
  <si>
    <t>58001</t>
  </si>
  <si>
    <t>Non-Operating</t>
  </si>
  <si>
    <t>573010</t>
  </si>
  <si>
    <t>DS Bond Discount</t>
  </si>
  <si>
    <t>Underwriter</t>
  </si>
  <si>
    <t>Cost of Issuance</t>
  </si>
  <si>
    <r>
      <t xml:space="preserve">Expenses </t>
    </r>
    <r>
      <rPr>
        <b/>
        <sz val="10"/>
        <color indexed="10"/>
        <rFont val="Arial"/>
        <family val="2"/>
      </rPr>
      <t>(OVER)</t>
    </r>
    <r>
      <rPr>
        <b/>
        <sz val="10"/>
        <rFont val="Arial"/>
        <family val="2"/>
      </rPr>
      <t xml:space="preserve"> / </t>
    </r>
    <r>
      <rPr>
        <b/>
        <sz val="10"/>
        <color indexed="12"/>
        <rFont val="Arial"/>
        <family val="2"/>
      </rPr>
      <t>UNDER</t>
    </r>
    <r>
      <rPr>
        <b/>
        <sz val="10"/>
        <rFont val="Arial"/>
        <family val="2"/>
      </rPr>
      <t xml:space="preserve"> Revenues</t>
    </r>
  </si>
  <si>
    <t>Proceeds of Refunding Bonds</t>
  </si>
  <si>
    <t>Series 2001 Special Assessment  Bonds</t>
  </si>
  <si>
    <t>SERIES 2014 BONDS</t>
  </si>
  <si>
    <t>AMORTIZATION SCHEDULE</t>
  </si>
  <si>
    <t>Period</t>
  </si>
  <si>
    <t>Outstanding</t>
  </si>
  <si>
    <t>Coupon</t>
  </si>
  <si>
    <t>Annual Debt</t>
  </si>
  <si>
    <t>Ending</t>
  </si>
  <si>
    <t>Balance</t>
  </si>
  <si>
    <t>Principal</t>
  </si>
  <si>
    <t>Rate</t>
  </si>
  <si>
    <t>Interest</t>
  </si>
  <si>
    <t>6 Mo Payment</t>
  </si>
  <si>
    <t>Service</t>
  </si>
  <si>
    <t>Auto+Hide+Values+Formulas=Sheet16,Sheet13,Sheet14+AutoSheet</t>
  </si>
  <si>
    <t>2015 Debt Service Fund</t>
  </si>
  <si>
    <t>53910</t>
  </si>
  <si>
    <t>549900</t>
  </si>
  <si>
    <t>573012</t>
  </si>
  <si>
    <t>Bond Premium</t>
  </si>
  <si>
    <t>SERIES 2015 BONDS</t>
  </si>
  <si>
    <t>per Bond Document</t>
  </si>
  <si>
    <t>special call</t>
  </si>
  <si>
    <r>
      <t xml:space="preserve">FY2017 </t>
    </r>
    <r>
      <rPr>
        <b/>
        <sz val="12"/>
        <rFont val="Arial"/>
        <family val="2"/>
      </rPr>
      <t>Exhibit "B"</t>
    </r>
  </si>
  <si>
    <r>
      <t xml:space="preserve">Allocation of </t>
    </r>
    <r>
      <rPr>
        <b/>
        <sz val="12"/>
        <rFont val="Arial"/>
        <family val="2"/>
      </rPr>
      <t>Debt Service</t>
    </r>
    <r>
      <rPr>
        <sz val="12"/>
        <rFont val="Arial"/>
        <family val="2"/>
      </rPr>
      <t xml:space="preserve"> Fund Balances</t>
    </r>
  </si>
  <si>
    <t>Interest Payment - November 2017</t>
  </si>
  <si>
    <t>Reserve Account(s) - US Bank</t>
  </si>
  <si>
    <t>Place balances here.</t>
  </si>
  <si>
    <t>Harmony Community Development District</t>
  </si>
  <si>
    <t>Assumptions:</t>
  </si>
  <si>
    <t>2017-2016 Non-Ad Valorem Assessment Rates Summary</t>
  </si>
  <si>
    <t>( Revision-1 )</t>
  </si>
  <si>
    <t>Platting</t>
  </si>
  <si>
    <t>Totals</t>
  </si>
  <si>
    <t>Remaining</t>
  </si>
  <si>
    <t>= Total Exped. - Interest - Misc-Assess Collect Cost</t>
  </si>
  <si>
    <t>Debt 
Service</t>
  </si>
  <si>
    <t>for 
2004 Bond</t>
  </si>
  <si>
    <t>2014 DS
Meth Report</t>
  </si>
  <si>
    <t>Units according
to Meth Report</t>
  </si>
  <si>
    <t>I</t>
  </si>
  <si>
    <t>2014 DS</t>
  </si>
  <si>
    <t>per Table</t>
  </si>
  <si>
    <t>I/J/K/O</t>
  </si>
  <si>
    <t>Parcel I</t>
  </si>
  <si>
    <t>J/K/l/O</t>
  </si>
  <si>
    <t>Hidden Rows 51-53 to avoid affecting platted and unplatted I/J/K/L formulas</t>
  </si>
  <si>
    <t>40'</t>
  </si>
  <si>
    <t>When J/K/L or O are platted add lots to rows 41-43 and subtract lots from rows 48-50</t>
  </si>
  <si>
    <t>50'</t>
  </si>
  <si>
    <t>Do not adjust unit count on rows 51-53</t>
  </si>
  <si>
    <t>60'</t>
  </si>
  <si>
    <t>MADS Includes gross Office and GC on roll on Methodology Report</t>
  </si>
  <si>
    <t>Net Assessments for Parcel I</t>
  </si>
  <si>
    <t>Gross Office and Golf Course</t>
  </si>
  <si>
    <t>Net Assessments for Unplatted</t>
  </si>
  <si>
    <t>Total On budget</t>
  </si>
  <si>
    <t>Auto+Hide+Lock+Formulas=Sheet1,Sheet7,Sheet8</t>
  </si>
  <si>
    <t>fit</t>
  </si>
  <si>
    <t>show</t>
  </si>
  <si>
    <t>Hide+Auto</t>
  </si>
  <si>
    <t>subaccounts</t>
  </si>
  <si>
    <t>Report Date:</t>
  </si>
  <si>
    <t>CDD Change</t>
  </si>
  <si>
    <t>Harmony CDD</t>
  </si>
  <si>
    <t>USE NET ASSETS FORMAT</t>
  </si>
  <si>
    <t>CDD</t>
  </si>
  <si>
    <t>SHOW GL ACCOUNT #</t>
  </si>
  <si>
    <t>Global Dimension 1 Code</t>
  </si>
  <si>
    <t>WCD</t>
  </si>
  <si>
    <t>GASB 54</t>
  </si>
  <si>
    <t>Posting Date</t>
  </si>
  <si>
    <t>Global Dimension 2 Code</t>
  </si>
  <si>
    <t>Community Improvement District</t>
  </si>
  <si>
    <t>Dimension Code</t>
  </si>
  <si>
    <t>CID</t>
  </si>
  <si>
    <t>ACCOUNT NO.</t>
  </si>
  <si>
    <t>GENERAL FUND</t>
  </si>
  <si>
    <t>2014 DEBT SERVICE FUND</t>
  </si>
  <si>
    <t>2015 DEBT SERVICE FUND</t>
  </si>
  <si>
    <t>Assets - Normal</t>
  </si>
  <si>
    <t>Current Assets</t>
  </si>
  <si>
    <t>101031..130999|133000..139999</t>
  </si>
  <si>
    <t>101000..101030</t>
  </si>
  <si>
    <t>Cash - Checking Account</t>
  </si>
  <si>
    <t>102000</t>
  </si>
  <si>
    <t>Cash On Hand/Petty Cash</t>
  </si>
  <si>
    <t>Cash with Fiscal Agent</t>
  </si>
  <si>
    <t>Accounts Receivable</t>
  </si>
  <si>
    <t>Acct Receivable-Returned Items</t>
  </si>
  <si>
    <t>Assessments Receivable</t>
  </si>
  <si>
    <t>Allow-Doubtful Collections</t>
  </si>
  <si>
    <t>Interest/Penalties Receivables</t>
  </si>
  <si>
    <t>Due From Developer</t>
  </si>
  <si>
    <t>Due From Other Gov'tl Units</t>
  </si>
  <si>
    <t>Interest/Dividend Receivables</t>
  </si>
  <si>
    <t>Assets - Due To Due From</t>
  </si>
  <si>
    <t>131000..131999|132900..132999|207000..207999|236000..236999</t>
  </si>
  <si>
    <t>131000</t>
  </si>
  <si>
    <t>Due From Other Funds</t>
  </si>
  <si>
    <t>Due To/From 001/201</t>
  </si>
  <si>
    <t>Due To/From 001/202</t>
  </si>
  <si>
    <t>Due To/From 001/302</t>
  </si>
  <si>
    <t>Due To/From 202/302</t>
  </si>
  <si>
    <t>Due To/From 001/203</t>
  </si>
  <si>
    <t>Due To/From 001/204</t>
  </si>
  <si>
    <t>Due To/From 001/304</t>
  </si>
  <si>
    <t>Due To/From 201/202</t>
  </si>
  <si>
    <t>Due To Other Funds</t>
  </si>
  <si>
    <t>Inventory</t>
  </si>
  <si>
    <t>140000..149999</t>
  </si>
  <si>
    <t>Inventory:</t>
  </si>
  <si>
    <t>Investments with Sub Accounts</t>
  </si>
  <si>
    <t>150000..151000</t>
  </si>
  <si>
    <t>1000..1005|1081..1091|1100..1108</t>
  </si>
  <si>
    <t>Investments:</t>
  </si>
  <si>
    <t>1000</t>
  </si>
  <si>
    <t>Default - Assets</t>
  </si>
  <si>
    <t>Certificates of Deposit - 12 Months</t>
  </si>
  <si>
    <t>Certificates of Deposit - 15 Months</t>
  </si>
  <si>
    <t>Certificates of Deposit - 36 Months</t>
  </si>
  <si>
    <t>Certificates of Deposit - Other</t>
  </si>
  <si>
    <t>Money Market Account</t>
  </si>
  <si>
    <t>1006..1080|1092..1099|1110..1170</t>
  </si>
  <si>
    <t>1011</t>
  </si>
  <si>
    <t>Capitalized Interest Account</t>
  </si>
  <si>
    <t>Cost of Issuance Fund</t>
  </si>
  <si>
    <t>Interest Account</t>
  </si>
  <si>
    <t>Prepayment Account</t>
  </si>
  <si>
    <t>Reserve Fund</t>
  </si>
  <si>
    <t>Revenue Fund</t>
  </si>
  <si>
    <t>Sinking fund</t>
  </si>
  <si>
    <t>Other current assets</t>
  </si>
  <si>
    <t>151001..153999|154001..156899</t>
  </si>
  <si>
    <t>152899</t>
  </si>
  <si>
    <t>FMV Adjustment</t>
  </si>
  <si>
    <t>Unamort Premiums/Investments</t>
  </si>
  <si>
    <t>Total Current Assets</t>
  </si>
  <si>
    <t>Noncurrent Assets</t>
  </si>
  <si>
    <t>fixed assets</t>
  </si>
  <si>
    <t>160000..169999</t>
  </si>
  <si>
    <t>Fixed Assets</t>
  </si>
  <si>
    <t>165900</t>
  </si>
  <si>
    <t>Accum Depr - Infrastructure</t>
  </si>
  <si>
    <t>noncurrent assets</t>
  </si>
  <si>
    <t>154000|156900..159999|170000..199999</t>
  </si>
  <si>
    <t>154000</t>
  </si>
  <si>
    <t>Deferred Charges (Bond Amtz)</t>
  </si>
  <si>
    <t>Other Assets-Non-Current</t>
  </si>
  <si>
    <t>Total Noncurrent Assets</t>
  </si>
  <si>
    <t>TOTAL ASSETS</t>
  </si>
  <si>
    <t>LIABILITIES &amp; FUND BALANCES</t>
  </si>
  <si>
    <t>Liabilities - Normal</t>
  </si>
  <si>
    <t>LIABILITIES</t>
  </si>
  <si>
    <t>Current Liabilities</t>
  </si>
  <si>
    <t>SHOW</t>
  </si>
  <si>
    <t>200000..201999|202001..203089|203091..206999|208000..210089|210091..224089|224096..225089|225091..226089|226091..227089|227091..228089|228091..230089|230091..232089|232091..234089|234091..235089</t>
  </si>
  <si>
    <t>Accounts Payable</t>
  </si>
  <si>
    <t>202100</t>
  </si>
  <si>
    <t>Accrued Expenses</t>
  </si>
  <si>
    <t>Retainage Payable</t>
  </si>
  <si>
    <t>Due To Other Gov'tl Units</t>
  </si>
  <si>
    <t>Accrued Wages Payable</t>
  </si>
  <si>
    <t>Accrued Taxes Payable</t>
  </si>
  <si>
    <t>Deferred Revenue</t>
  </si>
  <si>
    <t>Other Current Liabilities</t>
  </si>
  <si>
    <t>Total Current Liabilities</t>
  </si>
  <si>
    <t>Long-Term Liabilities</t>
  </si>
  <si>
    <t>203090|210090|224090..224095|225090|226090|227090|228090|230090|232090|234090|235090..239999</t>
  </si>
  <si>
    <t>Total Long-Term Liabilities</t>
  </si>
  <si>
    <t>TOTAL LIABILITIES</t>
  </si>
  <si>
    <t>240000..270999|273000..299999</t>
  </si>
  <si>
    <t>240000..599999</t>
  </si>
  <si>
    <t>Fund Balances</t>
  </si>
  <si>
    <t>240000..247999</t>
  </si>
  <si>
    <t>Reserved for Debt Service</t>
  </si>
  <si>
    <t>Reserved for Capital Projects</t>
  </si>
  <si>
    <t xml:space="preserve">Reserved for Special Revenue </t>
  </si>
  <si>
    <t>247045</t>
  </si>
  <si>
    <t>Reserves-Renewal &amp; Replacement</t>
  </si>
  <si>
    <t>Reserves - Self Insurance</t>
  </si>
  <si>
    <t>Operating Reserve</t>
  </si>
  <si>
    <t>Operating Reserves</t>
  </si>
  <si>
    <t>Reserves - Sidewalks</t>
  </si>
  <si>
    <t>Reserves - Streetlights</t>
  </si>
  <si>
    <t>Unreserved/Undesignated</t>
  </si>
  <si>
    <t>280000..280999</t>
  </si>
  <si>
    <t>Nonspendable:</t>
  </si>
  <si>
    <t>Total Nonspendable</t>
  </si>
  <si>
    <t>281000..281009|281011..281013|281015..281017|281019..281999</t>
  </si>
  <si>
    <t>Restricted for:</t>
  </si>
  <si>
    <t>Capital Projects</t>
  </si>
  <si>
    <t xml:space="preserve">Special Revenue </t>
  </si>
  <si>
    <t>Total Restricted</t>
  </si>
  <si>
    <t>282000..282999</t>
  </si>
  <si>
    <t>Committed to:</t>
  </si>
  <si>
    <t>Total Committed</t>
  </si>
  <si>
    <t>283000..283999</t>
  </si>
  <si>
    <t>Assigned to:</t>
  </si>
  <si>
    <t>283010</t>
  </si>
  <si>
    <t>Total Assigned</t>
  </si>
  <si>
    <t>284000..284999</t>
  </si>
  <si>
    <t>Unassigned to: (hidden)</t>
  </si>
  <si>
    <t>Total Unassigned (hidden)</t>
  </si>
  <si>
    <t>Unassigned:</t>
  </si>
  <si>
    <t>Restricted investments</t>
  </si>
  <si>
    <t>1006..1080|1092..1099</t>
  </si>
  <si>
    <t>151001..152999</t>
  </si>
  <si>
    <t>Restrcited for Debt Service</t>
  </si>
  <si>
    <t>Accrued Interest</t>
  </si>
  <si>
    <t>Capital Assets</t>
  </si>
  <si>
    <t>154000|158000..170998</t>
  </si>
  <si>
    <t>Bond Debt</t>
  </si>
  <si>
    <t>203000..204999|224090..234999</t>
  </si>
  <si>
    <t>Net Assets</t>
  </si>
  <si>
    <t>Invested in capital assets,</t>
  </si>
  <si>
    <t>net of related debt</t>
  </si>
  <si>
    <t>Restricted for Debt Service</t>
  </si>
  <si>
    <t>Restricted for Other</t>
  </si>
  <si>
    <t>Unrestricted/Unreserved</t>
  </si>
  <si>
    <t>Hidden Sum</t>
  </si>
  <si>
    <t>TOTAL LIABILITIES &amp;</t>
  </si>
  <si>
    <t>Complete Totals</t>
  </si>
  <si>
    <t>CHECK TOTAL REPORT</t>
  </si>
  <si>
    <t>Liabilities</t>
  </si>
  <si>
    <t>Difference (report and Navigator)</t>
  </si>
  <si>
    <t>100000..299999</t>
  </si>
  <si>
    <t>CHECK TOTAL NAVIGATOR</t>
  </si>
  <si>
    <t>THIS WORKSHEET IS FOR INTERNAL USE ONLY</t>
  </si>
  <si>
    <t>Calculation Worksheet</t>
  </si>
  <si>
    <t>(Proposed)</t>
  </si>
  <si>
    <t>General</t>
  </si>
  <si>
    <t>Series ?</t>
  </si>
  <si>
    <t>Special Assessments</t>
  </si>
  <si>
    <t>Special Assessments - Developer (For Karen's use only)</t>
  </si>
  <si>
    <t>Special Assessments - Discounts</t>
  </si>
  <si>
    <t>Other Revenue</t>
  </si>
  <si>
    <t>Total Revenue</t>
  </si>
  <si>
    <t>Expenditures - w/o Tax collector &amp; Property Appraiser Costs</t>
  </si>
  <si>
    <t>Tax Collector - Collection Costs</t>
  </si>
  <si>
    <t>Property Appraiser - Admin Costs</t>
  </si>
  <si>
    <t>Increase / (Decrease)</t>
  </si>
  <si>
    <t>Total Expenditures</t>
  </si>
  <si>
    <t>Collection %</t>
  </si>
  <si>
    <t>Property Appraiser %</t>
  </si>
  <si>
    <t>Fixed Collection Costs</t>
  </si>
  <si>
    <t>Fixed Property Appraiser Costs</t>
  </si>
  <si>
    <t>Excess Revenue</t>
  </si>
  <si>
    <t>Over (Under) Expenditures</t>
  </si>
  <si>
    <t>Other Financing Sources (Uses)</t>
  </si>
  <si>
    <t>Use of Fund Balance</t>
  </si>
  <si>
    <t>Operating Transfers- In (Out)</t>
  </si>
  <si>
    <t>Other</t>
  </si>
  <si>
    <t>NET CHANGE IN FUND BALANCE</t>
  </si>
  <si>
    <t>Fund Balance, October 1</t>
  </si>
  <si>
    <t>Fund Balance, Ending</t>
  </si>
  <si>
    <t>Auto+Hide+Lock+Formulas=Sheet7,Sheet8+FormulasOnly</t>
  </si>
  <si>
    <t>=IF(F$4="no","Hide","Show")</t>
  </si>
  <si>
    <t>=G1</t>
  </si>
  <si>
    <t>=IF(Q143&lt;10,"hidesheet","showsheet")</t>
  </si>
  <si>
    <t>=IF(N$130=0,"Hide","Show")</t>
  </si>
  <si>
    <t>=IF($Q$9=1,"HIDE",N2)</t>
  </si>
  <si>
    <t>=IF(Q$130=0,"Hide",IF($Q$9=1,"hide","Show"))</t>
  </si>
  <si>
    <t>=NL("Rows","Company Information","Name","Company=",$D$4)</t>
  </si>
  <si>
    <t>=IF(OR(NP("eval","=End_Date_SOR")="",NP("eval","=Budget_Fiscal_Year")=""),TEXT("09/30/1991","mm/dd/yyyy"),TEXT(NP("eval","=End_Date_SOR"),"mm/dd/yyyy"))</t>
  </si>
  <si>
    <t>=IF(E12&lt;&gt;"Balance Sheet","Yes","No")</t>
  </si>
  <si>
    <t>=(TEXT($D$3,"MMMM DD, YYYY"))</t>
  </si>
  <si>
    <t>=IF(ISERROR(FIND("CDD",$C$3)),0,FIND("CDD",$C$3))</t>
  </si>
  <si>
    <t>=IF(NL("Eval","=District_Name")="","AA  Master Company-backup",NL("Eval","=District_Name"))</t>
  </si>
  <si>
    <t>=IF(ISERROR(FIND("WCD",$C$3)),0,FIND("WCD",$C$3))</t>
  </si>
  <si>
    <t>=IF(NP("eval","=GASB54")="","No",NP("eval","=GASB54"))</t>
  </si>
  <si>
    <t>=TRIM(IF($C$12=0,IF($C$4+$C$5+$C$11=0,$C$3,IF($C$4=0,IF($C$11=0,REPLACE($C$3,$C$5,4,$C$2),REPLACE($C$3,$C$11,4,$C$2)),REPLACE($C$3,$C$4,4,$C$2))),$C$12))</t>
  </si>
  <si>
    <t>=TEXT($D$3,"mm/dd/yyyy")</t>
  </si>
  <si>
    <t>=E7&amp;E8&amp;E9&amp;E10</t>
  </si>
  <si>
    <t>=PROPER(LOWER("COMMUNITY DEVELOPMENT DISTRICT"))</t>
  </si>
  <si>
    <t>=CONCATENATE("01/01/1911..",TEXT($D$3,"MM/DD/YYYY"))</t>
  </si>
  <si>
    <t>=IF($I70="NET ASSETS","","Governmental ")</t>
  </si>
  <si>
    <t>=PROPER(LOWER("WATER CONTROL DISTRICT"))</t>
  </si>
  <si>
    <t>=IF(NL("Eval","Fund_no")="1","001",IF(NL("Eval","Fund_no")="","001..499",NL("Eval","Fund_no")))</t>
  </si>
  <si>
    <t>=IF(OR(E7="",E9=""),"","and ")</t>
  </si>
  <si>
    <t>=IF($C$13=0,IF($C$4+$C$5+$C$11=0,"",IF($C$4=0,IF($C$5=0,$C$10,$C$8),$C$7)),$C$13)</t>
  </si>
  <si>
    <t>=+D8</t>
  </si>
  <si>
    <t>=IF($R112=0,"","Enterprise ")</t>
  </si>
  <si>
    <t>=IF(N130=0,"",VALUE(M15))</t>
  </si>
  <si>
    <t>=COUNT(M9:P9)</t>
  </si>
  <si>
    <t>=IF(OR($Q$9&gt;1,$F$5="YES"),"Funds","Fund")</t>
  </si>
  <si>
    <t>=M15</t>
  </si>
  <si>
    <t>=IF(ISERROR(FIND("CID",$C$3)),0,FIND("CID",$C$3))</t>
  </si>
  <si>
    <t>=N123</t>
  </si>
  <si>
    <t>=OVERRIDE_DN</t>
  </si>
  <si>
    <t>=IF($I70="Net Assets","Statement of Net Assets","Balance Sheet")</t>
  </si>
  <si>
    <t>0</t>
  </si>
  <si>
    <t>=NL("Columns=3","Fund","No.","No.",$D$9,"Company=",$D$4,"Blocked","no")</t>
  </si>
  <si>
    <t>=IF(OR($F$5="YES",N$11=0),"",NL(,"Fund","Name","No.",M15,"company=",$D$4)&amp;" FUND")</t>
  </si>
  <si>
    <t>=IF(M$15="",0,VALUE(M$15))</t>
  </si>
  <si>
    <t>=IF(R48=0,"Hide","Show")</t>
  </si>
  <si>
    <t>=IF($Q143&lt;10,"ASSETS","ERROR, ERROR, THIS REPORT CONTAINS AN ERROR")</t>
  </si>
  <si>
    <t>=IF($F$3="No","Hide","Show")</t>
  </si>
  <si>
    <t>=IF($G21="","",NL("Rows","G/L Account","Name","No.",$G21,"Company=",$D$4))</t>
  </si>
  <si>
    <t>=IF($F$5="YES",0,ROUND(NL("SUM","G/L Entry","Amount","G/L Account No.",$G21,"Fund No.","@@"&amp;M$15,"Company=",$D$4,"Transaction Type",$D$5,"Posting Date",$D$7),0))</t>
  </si>
  <si>
    <t>=SUM(N21:P21)</t>
  </si>
  <si>
    <t>=ABS(SUM(N21:P21))</t>
  </si>
  <si>
    <t>=IF(R22=0,"Hide","Show")</t>
  </si>
  <si>
    <t>=NL("Rows","G/L Entry","G/L Account No.","G/L Account No.",$D$21,"Fund No.",$D$8,"Company=",$D$4,"Posting Date",$D$7,"Transaction Type",$D$5)</t>
  </si>
  <si>
    <t>=IF($G22="","",NL("Rows","G/L Account","Name","No.",$G22,"Company=",$D$4))</t>
  </si>
  <si>
    <t>=IF($F$5="yes",0,ROUND(NL("SUM","G/L Entry","Amount","G/L Account No.","@@"&amp;$G22,"Fund No.","@@"&amp;M$15,"Company=",$D$4,"Transaction Type",$D$5,"Posting Date",$D$7),0))</t>
  </si>
  <si>
    <t>=SUM(N22:P22)</t>
  </si>
  <si>
    <t>=ABS(SUM(N22:P22))</t>
  </si>
  <si>
    <t>=NL("Rows","G/L Entry","G/L Account No.","G/L Account No.",$D$23,"Fund No.",$D$8,"Company=",$D$4,"Posting Date",$D$7,"Transaction Type",$D$5)</t>
  </si>
  <si>
    <t>=IF($G24="","",NL("Rows","G/L Account","Name","No.",$G24,"Company=",$D$4))</t>
  </si>
  <si>
    <t>=IF($F$5="YES",0,ROUND(NL("SUM","G/L Entry","Amount","G/L Account No.","@@"&amp;$G24,"Fund No.","@@"&amp;M$15,"Company=",$D$4,"Transaction Type",$D$5,"Posting Date",$D$7),0))</t>
  </si>
  <si>
    <t>=SUM(N24:P24)</t>
  </si>
  <si>
    <t>=ABS(SUM(N24:P24))</t>
  </si>
  <si>
    <t>=SUM(N23:N25)</t>
  </si>
  <si>
    <t>=SUM(P23:P25)</t>
  </si>
  <si>
    <t>=SUM(N26:P26)</t>
  </si>
  <si>
    <t>=ABS(SUM(N26:P26))</t>
  </si>
  <si>
    <t>=IF(R27=0,"Hide","Show")</t>
  </si>
  <si>
    <t>=IF(N26&gt;0,N26,0)</t>
  </si>
  <si>
    <t>=SUM(N27:P27)</t>
  </si>
  <si>
    <t>=ABS(SUM(N27:P27))</t>
  </si>
  <si>
    <t>=IF(ABS(SUM(Q28:Q30))=0,"Hide","Show")</t>
  </si>
  <si>
    <t>=IF(R29=0,"Hide","Show")</t>
  </si>
  <si>
    <t>=NL("Rows","G/L Entry","G/L Account No.","G/L Account No.",$D$28,"Fund No.",$D$8,"Company=",$D$4,"Posting Date",$D$7,"Transaction Type",$D$5)</t>
  </si>
  <si>
    <t>=IF($G29="","",IF(LEFT(NL("Rows","G/L Account","Name","No.",$G29,"Company=",$D$4),13)="Inventories -",TRIM(MID((NL("Rows","G/L Account","Name","No.",$G29,"Company=",$D$4)),14,50)),(NL("Rows","G/L Account","Name","No.",$G29,"Company=",$D$4))))</t>
  </si>
  <si>
    <t>=IF($F$5="YES",0,ROUND(NL("SUM","G/L Entry","Amount","G/L Account No.","@@"&amp;$G29,"Fund No.","@@"&amp;M$15,"Company=",$D$4,"Transaction Type",$D$5,"Posting Date",$D$7),0))</t>
  </si>
  <si>
    <t>=SUM(N29:P29)</t>
  </si>
  <si>
    <t>=ABS(SUM(N29:P29))</t>
  </si>
  <si>
    <t>=IF(ABS(SUM(Q30:Q34))=0,"Hide","Show")</t>
  </si>
  <si>
    <t>=IF(R31=0,"Hide","Show")</t>
  </si>
  <si>
    <t>=NL("Rows","Dimension Value","Code","+Name","*","Code",$F$30,"Dimension Code",$F$6,"Company=",$D$4,"Link=","G/L Entry","Global Dimension 2 Code","=Code","G/L Account No.",$D$30,"Company=",$D$4,"Posting Date",$D$7,"Fund No.",$D$8)</t>
  </si>
  <si>
    <t>=IF($G31="","",IF(LEFT(NL("Rows","Dimension Value","Name","Code",$G31,"Dimension Code",$F$6,"Company=",$D$4),12)="Investments-",TRIM(MID(NL("Rows","Dimension Value","Name","Code",$G31,"Dimension Code",$F$6,"Company=",$D$4),13,50)),NL("Rows","Dimension Value","Name","Code",$G31,"Dimension Code",$F$6,"Company=",$D$4)))</t>
  </si>
  <si>
    <t>=IF($F$5="yes",0,ROUND(NL("SUM","G/L Entry","Amount","G/L Account No.",$D$30,"Global Dimension 2 Code","@@"&amp;$G31,"Fund No.","@@"&amp;M$15,"Company=",$D$4,"Transaction Type",$D$5,"Posting Date",$D$7),0))</t>
  </si>
  <si>
    <t>=SUM(N31:P31)</t>
  </si>
  <si>
    <t>=ABS(SUM(N31:P31))</t>
  </si>
  <si>
    <t>=IF(R33=0,"Hide","Show")</t>
  </si>
  <si>
    <t>=NL("Rows","Dimension Value","Code","+Name","*","Code",$F$32,"Dimension Code",$F$6,"Company=",$D$4,"Link=","G/L Entry","Global Dimension 2 Code","=Code","G/L Account No.",$D$30,"Company=",$D$4,"Posting Date",$D$7,"Fund No.",$D$8)</t>
  </si>
  <si>
    <t>=IF($G33="","",IF(LEFT(NL("Rows","Dimension Value","Name","Code",$G33,"Dimension Code",$F$6,"Company=",$D$4),12)="Investments-",TRIM(MID(NL("Rows","Dimension Value","Name","Code",$G33,"Dimension Code",$F$6,"Company=",$D$4),13,50)),NL("Rows","Dimension Value","Name","Code",$G33,"Dimension Code",$F$6,"Company=",$D$4)))</t>
  </si>
  <si>
    <t>=IF($F$5="YES",0,ROUND(NL("SUM","G/L Entry","Amount","G/L Account No.",$D$30,"Global Dimension 2 Code","@@"&amp;$G33,"Fund No.","@@"&amp;M$15,"Company=",$D$4,"Transaction Type",$D$5,"Posting Date",$D$7),0))</t>
  </si>
  <si>
    <t>=SUM(N33:P33)</t>
  </si>
  <si>
    <t>=ABS(SUM(N33:P33))</t>
  </si>
  <si>
    <t>=IF(R35=0,"Hide","Show")</t>
  </si>
  <si>
    <t>=NL("Rows","G/L Entry","G/L Account No.","G/L Account No.",$D$34,"Fund No.",$D$8,"Company=",$D$4,"Posting Date",$D$7,"Transaction Type",$D$5)</t>
  </si>
  <si>
    <t>=IF($G35="","",NL("Rows","G/L Account","Name","No.",$G35,"Company=",$D$4))</t>
  </si>
  <si>
    <t>=IF($F$5="YES",0,ROUND(NL("SUM","G/L Entry","Amount","G/L Account No.","@@"&amp;$G35,"Fund No.","@@"&amp;M$15,"Company=",$D$4,"Transaction Type",$D$5,"Posting Date",$D$7),0))</t>
  </si>
  <si>
    <t>=SUM(N35:P35)</t>
  </si>
  <si>
    <t>=ABS(SUM(N35:P35))</t>
  </si>
  <si>
    <t>=SUM(N20:N23)+SUM(N27:N36)</t>
  </si>
  <si>
    <t>=SUM(N37:P37)</t>
  </si>
  <si>
    <t>=ABS(SUM(N37:P37))</t>
  </si>
  <si>
    <t>=IF(SUM(R41:R42)=0,"Hide","Show")</t>
  </si>
  <si>
    <t>=IF(R41=0,"Hide","Show")</t>
  </si>
  <si>
    <t>=NL("Rows","G/L Entry","G/L Account No.","G/L Account No.",$D$40,"Fund No.",$D$8,"Company=",$D$4,"Posting Date",$D$7,"Transaction Type",$D$5)</t>
  </si>
  <si>
    <t>=IF($G41="","",(NL("Rows","G/L Account","Name","No.",$G41,"Company=",$D$4)))</t>
  </si>
  <si>
    <t>=IF($F$5="YES",0,ROUND(NL("SUM","G/L Entry","Amount","G/L Account No.","@@"&amp;$G41,"Fund No.","@@"&amp;M$15,"Company=",$D$4,"Transaction Type",$D$5,"Posting Date",$D$7),0))</t>
  </si>
  <si>
    <t>=SUM(N41:P41)</t>
  </si>
  <si>
    <t>=ABS(SUM(N41:P41))</t>
  </si>
  <si>
    <t>=IF(R44=0,"Hide","Show")</t>
  </si>
  <si>
    <t>=NL("Rows","G/L Entry","G/L Account No.","G/L Account No.",$D$43,"Fund No.",$D$8,"Company=",$D$4,"Posting Date",$D$7,"Transaction Type",$D$5)</t>
  </si>
  <si>
    <t>=IF($G44="","",NL("Rows","G/L Account","Name","No.",$G44,"Company=",$D$4))</t>
  </si>
  <si>
    <t>=IF($F$5="YES",0,ROUND(NL("SUM","G/L Entry","Amount","G/L Account No.","@@"&amp;$G44,"Fund No.",M$16,"Company=",$D$4,"Transaction Type",$D$5,"Posting Date",$D$7),0))</t>
  </si>
  <si>
    <t>=SUM(N44:P44)</t>
  </si>
  <si>
    <t>=ABS(SUM(N44:P44))</t>
  </si>
  <si>
    <t>=SUM(N38:N45)</t>
  </si>
  <si>
    <t>=SUM(Q38:Q45)</t>
  </si>
  <si>
    <t>=ABS(SUM(N46:P46))</t>
  </si>
  <si>
    <t>=N46+N37</t>
  </si>
  <si>
    <t>=SUM(N48:P48)</t>
  </si>
  <si>
    <t>=ABS(SUM(N48:P48))</t>
  </si>
  <si>
    <t>=IF(R67=0,"Hide","Show")</t>
  </si>
  <si>
    <t>202000</t>
  </si>
  <si>
    <t>=IF($G56="","",NL("Rows","G/L Account","Name","No.",$G56,"Company=",$D$4))</t>
  </si>
  <si>
    <t>=IF($F$5="YES",0,ROUND(-NL("SUM","G/L Entry","Amount","G/L Account No.","@@"&amp;$G56,"Fund No.","@@"&amp;M$15,"Company=",$D$4,"Transaction Type",$D$5,"Posting Date",$D$7),0))</t>
  </si>
  <si>
    <t>=SUM(N56:P56)</t>
  </si>
  <si>
    <t>=ABS(SUM(N56:P56))</t>
  </si>
  <si>
    <t>=IF(R57=0,"Hide","Show")</t>
  </si>
  <si>
    <t>=NL("Rows","G/L Entry","G/L Account No.","G/L Account No.",$D$56,"Fund No.",$D$8,"Company=",$D$4,"Posting Date",$D$7,"Transaction Type",$D$5)</t>
  </si>
  <si>
    <t>=IF($G57="","",NL("Rows","G/L Account","Name","No.",$G57,"Company=",$D$4))</t>
  </si>
  <si>
    <t>=IF($F$5="YES",0,ROUND(-NL("SUM","G/L Entry","Amount","G/L Account No.","@@"&amp;$G57,"Fund No.","@@"&amp;M$15,"Company=",$D$4,"Transaction Type",$D$5,"Posting Date",$D$7),0))</t>
  </si>
  <si>
    <t>=SUM(N57:P57)</t>
  </si>
  <si>
    <t>=ABS(SUM(N57:P57))</t>
  </si>
  <si>
    <t>=IF(R58=0,"Hide","Show")</t>
  </si>
  <si>
    <t>207000</t>
  </si>
  <si>
    <t>=IF(N26&gt;0,0,-N26)</t>
  </si>
  <si>
    <t>=SUM(N58:P58)</t>
  </si>
  <si>
    <t>=ABS(SUM(N58:P58))</t>
  </si>
  <si>
    <t>=SUM(N55:N59)</t>
  </si>
  <si>
    <t>=SUM(N60:P60)</t>
  </si>
  <si>
    <t>=ABS(SUM(N60:P60))</t>
  </si>
  <si>
    <t>=IF(R63=0,"Hide","Show")</t>
  </si>
  <si>
    <t>=NL("Rows","G/L Entry","G/L Account No.","G/L Account No.",$D$63,"Fund No.",$D$8,"Company=",$D$4,"Posting Date",$D$7,"Transaction Type",$D$5)</t>
  </si>
  <si>
    <t>=IF($G63="","",NL("Rows","G/L Account","Name","No.",$G63,"Company=",$D$4))</t>
  </si>
  <si>
    <t>=IF($F$5="YES",0,ROUND(-NL("SUM","G/L Entry","Amount","G/L Account No.","@@"&amp;$G63,"Fund No.","@@"&amp;M$15,"Company=",$D$4,"Transaction Type",$D$5,"Posting Date",$D$7),0))</t>
  </si>
  <si>
    <t>=SUM(N63:P63)</t>
  </si>
  <si>
    <t>=ABS(SUM(N63:P63))</t>
  </si>
  <si>
    <t>=SUM(N63:N64)</t>
  </si>
  <si>
    <t>=SUM(N65:P65)</t>
  </si>
  <si>
    <t>=ABS(SUM(N65:P65))</t>
  </si>
  <si>
    <t>=N65+N60</t>
  </si>
  <si>
    <t>=Q65+Q60</t>
  </si>
  <si>
    <t>=ABS(SUM(N67:P67))</t>
  </si>
  <si>
    <t>=IF(R123=0,"Hide","Show")</t>
  </si>
  <si>
    <t>=IF($R112=0,"FUND BALANCES",IF($R70=0,"NET ASSETS","FUND BALANCES / NET ASSETS"))</t>
  </si>
  <si>
    <t>=R72</t>
  </si>
  <si>
    <t>=IF(OR($R112=0,$R72=0),"Hide","SHOW")</t>
  </si>
  <si>
    <t>=R127</t>
  </si>
  <si>
    <t>=SUM(R73:R79)</t>
  </si>
  <si>
    <t>=IF(R73=0,"Hide","Show")</t>
  </si>
  <si>
    <t>271100</t>
  </si>
  <si>
    <t>=IF(AND(M$16&gt;=200,M$16&lt;=299),"200..299","0")</t>
  </si>
  <si>
    <t>=IF(OR($F$5="YES",M73="0"),0,SUM(N48-N67-N122))</t>
  </si>
  <si>
    <t>=SUM(N73:P73)</t>
  </si>
  <si>
    <t>=ABS(SUM(N73:P73))</t>
  </si>
  <si>
    <t>=IF(R74=0,"Hide","Show")</t>
  </si>
  <si>
    <t>271110</t>
  </si>
  <si>
    <t>=IF(AND(M$16&gt;=300,M$16&lt;=399),"300..399","0")</t>
  </si>
  <si>
    <t>=IF(OR($F$5="YES",M74="0"),0,SUM(N48-N67-N122))</t>
  </si>
  <si>
    <t>=SUM(N74:P74)</t>
  </si>
  <si>
    <t>=ABS(SUM(N74:P74))</t>
  </si>
  <si>
    <t>=IF(R75=0,"Hide","Show")</t>
  </si>
  <si>
    <t>=IF(AND(M$16&gt;=100,M$16&lt;=199),"100..199","0")</t>
  </si>
  <si>
    <t>=IF(OR($F$5="YES",M75="0"),0,SUM(N48-N67-N122))</t>
  </si>
  <si>
    <t>=SUM(N75:P75)</t>
  </si>
  <si>
    <t>=ABS(SUM(N75:P75))</t>
  </si>
  <si>
    <t>=IF(R76=0,"Hide","Show")</t>
  </si>
  <si>
    <t>=NL("Rows","G/L Entry","G/L Account No.","G/L Account No.",$D$71,"Fund No.",$D$8,"Company=",$D$4,"Posting Date",$D$7,"Transaction Type",$D$5)</t>
  </si>
  <si>
    <t>=IF($G76="","",NL("Rows","G/L Account","Name","No.",$G76,"Company=",$D$4))</t>
  </si>
  <si>
    <t>=IF(AND(M$16&gt;=400,M$16&lt;=499),0,"001..399")</t>
  </si>
  <si>
    <t>=IF($F$5="YES",0,IF(M76=0,0,ROUND(-NL("SUM","G/L Entry","Amount","G/L Account No.","@@"&amp;$G76,"Fund No.","@@"&amp;M$15,"Company=",$D$4,"Transaction Type",$D$5,"Posting Date",$D$7),0)))</t>
  </si>
  <si>
    <t>=SUM(N76:P76)</t>
  </si>
  <si>
    <t>=ABS(SUM(N76:P76))</t>
  </si>
  <si>
    <t>=IF(R78=0,"Hide","Show")</t>
  </si>
  <si>
    <t>271000</t>
  </si>
  <si>
    <t>=IF(AND(M$16&gt;=0,M$16&lt;=199),"0..199|600..999",IF(AND(M$16&gt;=600,M$16&lt;=999),"0..199|600..999","0"))</t>
  </si>
  <si>
    <t>=IF(OR($F$5="YES",M78="0"),0,SUM(N48-N67-N122))</t>
  </si>
  <si>
    <t>=SUM(N78:P78)</t>
  </si>
  <si>
    <t>=ABS(SUM(N78:P78))</t>
  </si>
  <si>
    <t>=B112</t>
  </si>
  <si>
    <t>=NL("Rows","G/L Entry","G/L Account No.","G/L Account No.",$D$80,"Fund No.",$D$8,"Company=",$D$4,"Posting Date",$D$7,"Transaction Type",$D$5)</t>
  </si>
  <si>
    <t>=IF($G81="","",NL("Rows","G/L Account","Name","No.",$G81,"Company=",$D$4))</t>
  </si>
  <si>
    <t>=IF(AND(M$16&gt;=0,M$16&lt;=99),"0..099|600..999",IF(AND(M$16&gt;=600,M$16&lt;=999),"0..099|600..999","0"))</t>
  </si>
  <si>
    <t>=IF($F$5="NO",0,IF(M81=0,0,ROUND(-NL("SUM","G/L Entry","Amount","G/L Account No.","@@"&amp;$G81,"Fund No.","@@"&amp;M$15,"Company=",$D$4,"Transaction Type",$D$5,"Posting Date",$D$7),0)))</t>
  </si>
  <si>
    <t>=SUM(N81:P81)</t>
  </si>
  <si>
    <t>=ABS(SUM(N81:P81))</t>
  </si>
  <si>
    <t>=SUM(N80:N82)</t>
  </si>
  <si>
    <t>=SUM(N83:P83)</t>
  </si>
  <si>
    <t>=ABS(SUM(N83:P83))</t>
  </si>
  <si>
    <t>281010</t>
  </si>
  <si>
    <t>=IF(OR($F$5="NO",M85="0"),0,IF(SUM(N48-N67-N122)&lt;0,0,SUM(N48-N67-N122)))</t>
  </si>
  <si>
    <t>=SUM(N85:P85)</t>
  </si>
  <si>
    <t>=ABS(SUM(N85:P85))</t>
  </si>
  <si>
    <t>281014</t>
  </si>
  <si>
    <t>=IF(OR($F$5="NO",M86="0"),0,IF(SUM(N48-N67-N122)&lt;0,0,SUM(N48-N67-N122)))</t>
  </si>
  <si>
    <t>=SUM(N86:P86)</t>
  </si>
  <si>
    <t>=ABS(SUM(N86:P86))</t>
  </si>
  <si>
    <t>281018</t>
  </si>
  <si>
    <t>=IF(OR($F$5="NO",M87="0"),0,IF(SUM(N48-N67-N122)&lt;0,0,SUM(N48-N67-N122)))</t>
  </si>
  <si>
    <t>=SUM(N87:P87)</t>
  </si>
  <si>
    <t>=ABS(SUM(N87:P87))</t>
  </si>
  <si>
    <t>=NL("Rows","G/L Entry","G/L Account No.","G/L Account No.",$D$84,"Fund No.",$D$8,"Company=",$D$4,"Posting Date",$D$7,"Transaction Type",$D$5)</t>
  </si>
  <si>
    <t>=IF($G89="","",NL("Rows","G/L Account","Name","No.",$G93,"Company=",$D$4))</t>
  </si>
  <si>
    <t>=IF($F$5="NO",0,IF(M89=0,0,ROUND(-NL("SUM","G/L Entry","Amount","G/L Account No.","@@"&amp;$G89,"Fund No.","@@"&amp;M$15,"Company=",$D$4,"Transaction Type",$D$5,"Posting Date",$D$7),0)))</t>
  </si>
  <si>
    <t>=SUM(N89:P89)</t>
  </si>
  <si>
    <t>=ABS(SUM(N89:P89))</t>
  </si>
  <si>
    <t>=SUM(N84:N90)</t>
  </si>
  <si>
    <t>=SUM(N91:P91)</t>
  </si>
  <si>
    <t>=ABS(SUM(N91:P91))</t>
  </si>
  <si>
    <t>=NL("Rows","G/L Entry","G/L Account No.","G/L Account No.",$D$92,"Fund No.",$D$8,"Company=",$D$4,"Posting Date",$D$7,"Transaction Type",$D$5)</t>
  </si>
  <si>
    <t>=IF($G93="","",NL("Rows","G/L Account","Name","No.",$G93,"Company=",$D$4))</t>
  </si>
  <si>
    <t>=IF($F$5="NO",0,IF(M93=0,0,ROUND(-NL("SUM","G/L Entry","Amount","G/L Account No.","@@"&amp;$G93,"Fund No.","@@"&amp;M$15,"Company=",$D$4,"Transaction Type",$D$5,"Posting Date",$D$7),0)))</t>
  </si>
  <si>
    <t>=SUM(N93:P93)</t>
  </si>
  <si>
    <t>=ABS(SUM(N93:P93))</t>
  </si>
  <si>
    <t>=SUM(N92:N94)</t>
  </si>
  <si>
    <t>=SUM(N95:P95)</t>
  </si>
  <si>
    <t>=ABS(SUM(N95:P95))</t>
  </si>
  <si>
    <t>=NL("Rows","G/L Entry","G/L Account No.","G/L Account No.",$D$96,"Fund No.",$D$8,"Company=",$D$4,"Posting Date",$D$7,"Transaction Type",$D$5)</t>
  </si>
  <si>
    <t>=IF($G97="","",NL("Rows","G/L Account","Name","No.",$G97,"Company=",$D$4))</t>
  </si>
  <si>
    <t>=IF($F$5="NO",0,IF(M97=0,0,ROUND(-NL("SUM","G/L Entry","Amount","G/L Account No.","@@"&amp;$G97,"Fund No.","@@"&amp;M$15,"Company=",$D$4,"Transaction Type",$D$5,"Posting Date",$D$7),0)))</t>
  </si>
  <si>
    <t>=SUM(N97:P97)</t>
  </si>
  <si>
    <t>=ABS(SUM(N97:P97))</t>
  </si>
  <si>
    <t>=SUM(N96:N98)</t>
  </si>
  <si>
    <t>=SUM(N99:P99)</t>
  </si>
  <si>
    <t>=ABS(SUM(N99:P99))</t>
  </si>
  <si>
    <t>=NL("Rows","G/L Entry","G/L Account No.","G/L Account No.",$D$100,"Fund No.",$D$8,"Company=",$D$4,"Posting Date",$D$7,"Transaction Type",$D$5)</t>
  </si>
  <si>
    <t>=IF($G101="","",NL("Rows","G/L Account","Name","No.",$G101,"Company=",$D$4))</t>
  </si>
  <si>
    <t>=IF($F$5="NO",0,IF(M101=0,0,ROUND(-NL("SUM","G/L Entry","Amount","G/L Account No.","@@"&amp;$G101,"Fund No.","@@"&amp;M$15,"Company=",$D$4,"Transaction Type",$D$5,"Posting Date",$D$7),0)))</t>
  </si>
  <si>
    <t>=SUM(N101:P101)</t>
  </si>
  <si>
    <t>=ABS(SUM(N101:P101))</t>
  </si>
  <si>
    <t>=SUM(N100:N102)</t>
  </si>
  <si>
    <t>=SUM(N103:P103)</t>
  </si>
  <si>
    <t>=ABS(SUM(N103:P103))</t>
  </si>
  <si>
    <t>284100</t>
  </si>
  <si>
    <t>=IF(AND(M$16&gt;=0,M$16&lt;=399),"0..399|600..999",IF(AND(M$16&gt;=600,M$16&lt;=999),"0..399|600..999","0"))</t>
  </si>
  <si>
    <t>=IF(OR($F$5="NO",M104="0"),0,SUM(N48-N67-N122-N85-N86-N87))</t>
  </si>
  <si>
    <t>=SUM(N104:P104)</t>
  </si>
  <si>
    <t>=ABS(SUM(N104:P104))</t>
  </si>
  <si>
    <t>151000</t>
  </si>
  <si>
    <t>=IF($F$5="YES",0,-ROUND(NL("SUM","G/L Entry","Amount","G/L Account No.",$D106,"Global Dimension 2 Code",$E106,"Fund No.",M$16,"Company=",$D$4,"Transaction Type",$D$5,"Posting Date",$D$7),0))</t>
  </si>
  <si>
    <t>=ABS(SUM(N106:P106))</t>
  </si>
  <si>
    <t>=IF($F$5="YES",0,-ROUND(NL("SUM","G/L Entry","Amount","G/L Account No.",$D107,"Fund No.",M$16,"Company=",$D$4,"Transaction Type",$D$5,"Posting Date",$D$7),0))</t>
  </si>
  <si>
    <t>=ABS(SUM(N107:P107))</t>
  </si>
  <si>
    <t>275100</t>
  </si>
  <si>
    <t>=IF($F$5="YES",0,-ROUND(NL("SUM","G/L Entry","Amount","G/L Account No.",$D108,"Fund No.",M$16,"Company=",$D$4,"Transaction Type",$D$5,"Posting Date",$D$7),0))</t>
  </si>
  <si>
    <t>=ABS(SUM(N108:P108))</t>
  </si>
  <si>
    <t>215000</t>
  </si>
  <si>
    <t>=IF($F$5="YES",0,-ROUND(NL("SUM","G/L Entry","Amount","G/L Account No.",$D109,"Fund No.",M$16,"Company=",$D$4,"Transaction Type",$D$5,"Posting Date",$D$7),0))</t>
  </si>
  <si>
    <t>=ABS(SUM(N109:P109))</t>
  </si>
  <si>
    <t>=IF($F$5="YES",0,ROUND(-NL("SUM","G/L Entry","Amount","G/L Account No.",$D110,"Fund No.",M$16,"Company=",$D$4,"Transaction Type",$D$5,"Posting Date",$D$7),0))</t>
  </si>
  <si>
    <t>=ABS(SUM(N110:P110))</t>
  </si>
  <si>
    <t>=IF($F$5="YES",0,ROUND(-NL("SUM","G/L Entry","Amount","G/L Account No.",$D111,"Fund No.",M$16,"Company=",$D$4,"Transaction Type",$D$5,"Posting Date",$D$7),0))</t>
  </si>
  <si>
    <t>=ABS(SUM(N111:P111))</t>
  </si>
  <si>
    <t>=SUM(R113:R119)</t>
  </si>
  <si>
    <t>=IF(R114=0,"Hide","Show")</t>
  </si>
  <si>
    <t>274000</t>
  </si>
  <si>
    <t>=IF(AND(M$16&gt;=400,M$16&lt;=599),"400..599","0")</t>
  </si>
  <si>
    <t>=IF(M114="0",0,-(SUM(M110+M111)))</t>
  </si>
  <si>
    <t>=SUM(N114:P114)</t>
  </si>
  <si>
    <t>=ABS(SUM(N114:P114))</t>
  </si>
  <si>
    <t>=IF(R115=0,"Hide","Show")</t>
  </si>
  <si>
    <t>=IF(M115="0",0,IF(M108&lt;&gt;0,M108,IF(-SUM(M106+M107+M109)&lt;0,0,-(SUM(M106+M107+M109)))))</t>
  </si>
  <si>
    <t>=SUM(N115:P115)</t>
  </si>
  <si>
    <t>=ABS(SUM(N115:P115))</t>
  </si>
  <si>
    <t>=IF(R116=0,"Hide","Show")</t>
  </si>
  <si>
    <t>275000</t>
  </si>
  <si>
    <t>=IF($F$5="YES",0,IF(M116="0",0,ROUND(-NL("SUM","G/L Entry","Amount","G/L Account No.","@@"&amp;$G116,"Fund No.",M$15,"Company=",$D$4,"Transaction Type",$D$5,"Posting Date",$D$7),0)))</t>
  </si>
  <si>
    <t>=SUM(N116:P116)</t>
  </si>
  <si>
    <t>=ABS(SUM(N116:P116))</t>
  </si>
  <si>
    <t>=IF(R117=0,"Hide","Show")</t>
  </si>
  <si>
    <t>=NL("Rows","G/L Entry","G/L Account No.","G/L Account No.",$D$72,"Fund No.",$D$8,"Company=",$D$4,"Posting Date",$D$7,"Transaction Type",$D$5)</t>
  </si>
  <si>
    <t>=IF($G117="","",NL("Rows","G/L Account","Name","No.",$G117,"Company=",$D$4))</t>
  </si>
  <si>
    <t>=IF($F$5="YES",0,IF(M117="0",0,ROUND(-NL("SUM","G/L Entry","Amount","G/L Account No.","@@"&amp;$G117,"Fund No.",M$15,"Company=",$D$4,"Transaction Type",$D$5,"Posting Date",$D$7),0)))</t>
  </si>
  <si>
    <t>=SUM(N117:P117)</t>
  </si>
  <si>
    <t>=ABS(SUM(N117:P117))</t>
  </si>
  <si>
    <t>=IF(R119=0,"Hide","Show")</t>
  </si>
  <si>
    <t>276000</t>
  </si>
  <si>
    <t>=IF(M119="0",0,SUM(N48-N67-N122))</t>
  </si>
  <si>
    <t>=SUM(N119:P119)</t>
  </si>
  <si>
    <t>=ABS(SUM(N119:P119))</t>
  </si>
  <si>
    <t>=IF(R120=0,"Hide","Show")</t>
  </si>
  <si>
    <t>=ABS(SUM(N120:P120))</t>
  </si>
  <si>
    <t>=IF(SUM(R70:R120)=0,"Hide","Show")</t>
  </si>
  <si>
    <t>=SUM(N107,N99,N95,N83,N88:N90)+SUM(N76:N77)+SUM(N114:N118)</t>
  </si>
  <si>
    <t>=SUM(N122:P122)</t>
  </si>
  <si>
    <t>=ABS(SUM(N122:P122))</t>
  </si>
  <si>
    <t>="TOTAL "&amp;I70</t>
  </si>
  <si>
    <t>=N73+N74+N119+N78+N122</t>
  </si>
  <si>
    <t>=Q73+Q74+Q119+Q78+Q122</t>
  </si>
  <si>
    <t>=ABS(SUM(N123:P123))</t>
  </si>
  <si>
    <t>=IF(I128&lt;&gt;"net assets","Hide","Show")</t>
  </si>
  <si>
    <t>=IF(OR(I128="net assets",R123=0),"Hide","Show")</t>
  </si>
  <si>
    <t>=B128</t>
  </si>
  <si>
    <t>=IF(OR(R112=0,R70=0),0,R112+R70)</t>
  </si>
  <si>
    <t>=IF(OR(I128="net assets",R128=0),"Hide","Show")</t>
  </si>
  <si>
    <t>=I70</t>
  </si>
  <si>
    <t>=SUM(N123+N67)</t>
  </si>
  <si>
    <t>=SUM(N128:P128)</t>
  </si>
  <si>
    <t>=ABS(SUM(N128:P128))</t>
  </si>
  <si>
    <t>=ABS(SUM(N48+N67+N128))</t>
  </si>
  <si>
    <t>=SUM(N130:P130)</t>
  </si>
  <si>
    <t>=ABS(SUM(N130:P130))</t>
  </si>
  <si>
    <t>=B137</t>
  </si>
  <si>
    <t>=B138</t>
  </si>
  <si>
    <t>=B139</t>
  </si>
  <si>
    <t>=B140</t>
  </si>
  <si>
    <t>=SUM(N67+N123-N48)</t>
  </si>
  <si>
    <t>=SUM(N139:P139)</t>
  </si>
  <si>
    <t>=B141</t>
  </si>
  <si>
    <t>=B142</t>
  </si>
  <si>
    <t>=IF($F$5="YES",0,NL("SUM","G/L Entry","Amount","G/L Account No.",$D141,"Fund No.","@@"&amp;M$15,"Company=",$D$4,"Transaction Type",$D$5,"Posting Date",$D$7))</t>
  </si>
  <si>
    <t>=SUM(N141:P141)</t>
  </si>
  <si>
    <t>=B143</t>
  </si>
  <si>
    <t>=IF($F$5="YES",0,NL("SUM","G/L Entry","Amount","G/L Account No.",$D142,"Fund No.","@@"&amp;M$15,"Company=",$D$4,"Transaction Type",$D$5,"Posting Date",$D$7))</t>
  </si>
  <si>
    <t>=SUM(N142:P142)</t>
  </si>
  <si>
    <t>=IF(Q143&lt;10,"hide","show")</t>
  </si>
  <si>
    <t>=ABS((N48-N67)-(N141+N142))</t>
  </si>
  <si>
    <t>=SUM(N143:P143)</t>
  </si>
  <si>
    <t>=B144</t>
  </si>
  <si>
    <t>=IF($F$5="YES",0,NL("SUM","G/L Entry","Amount","G/L Account No.",$D145,"Fund No.","@@"&amp;M$15,"Company=",$D$4,"Transaction Type",$D$5,"Posting Date",$D$7))</t>
  </si>
  <si>
    <t>=SUM(N145:P145)</t>
  </si>
  <si>
    <t>=B145</t>
  </si>
  <si>
    <t>=IF($F$5="YES",0,NL("SUM","G/L Entry","Amount","G/L Account No.",$D146,"Fund No.","@@"&amp;M$15,"Company=",$D$4,"Transaction Type",$D$5,"Posting Date",$D$7))</t>
  </si>
  <si>
    <t>=SUM(N146:P146)</t>
  </si>
  <si>
    <t>=B146</t>
  </si>
  <si>
    <t>=B147</t>
  </si>
  <si>
    <t>=SUM(N145+N146)</t>
  </si>
  <si>
    <t>=SUM(N148:P148)</t>
  </si>
  <si>
    <t>Auto+Hide+Lock+Formulas=Sheet9,Sheet10+FormulasOnly</t>
  </si>
  <si>
    <t>=NP("eval","=End_Date_SOR")</t>
  </si>
  <si>
    <t>=NL("Eval","=District_Name")</t>
  </si>
  <si>
    <t>=TEXT($C$3,"mm/dd/yyyy")</t>
  </si>
  <si>
    <t>=CONCATENATE("01/01/1911..",TEXT($C$3,"MM/DD/YYYY"))</t>
  </si>
  <si>
    <t>=NL("Eval","Fund_no")</t>
  </si>
  <si>
    <t>=IF(NP("eval","Subaccount")="*","9999",NP("eval","=Subaccount"))</t>
  </si>
  <si>
    <t>=NL("Rows","Fund","No.","No.",$C$8,"company=",$C$4)</t>
  </si>
  <si>
    <t>=NL("SUM","G/L Entry","Amount","G/L Account No.",$E$21,"Fund No.","@@"&amp;D22,"Company=",$C$4,"Transaction Type",$C$5,"Posting Date",$C$7)</t>
  </si>
  <si>
    <t>=NL("SUM","G/L Entry","Amount","G/L Account No.",F$21,"Fund No.","@@"&amp;$D22,"Company=",$C$4,"Transaction Type",$C$5,"Posting Date",$C$7)</t>
  </si>
  <si>
    <t>=NL("SUM","G/L Entry","Amount","G/L Account No.",G$21,"Fund No.","@@"&amp;$D22,"Company=",$C$4,"Transaction Type",$C$5,"Posting Date",$C$7)</t>
  </si>
  <si>
    <t>=NL("SUM","G/L Entry","Amount","G/L Account No.",H$21,"Fund No.","@@"&amp;$D22,"Company=",$C$4,"Transaction Type",$C$5,"Posting Date",$C$7)</t>
  </si>
  <si>
    <t>=IF((ABS(E22)+ABS(F22))+ABS(G22)+ABS(H22)=0,"..",D22)</t>
  </si>
  <si>
    <t>=NP("JOIN",I22:I23,"|")</t>
  </si>
  <si>
    <t>=SUBSTITUTE(I24,"..|","")</t>
  </si>
  <si>
    <t>=LEN(I25)</t>
  </si>
  <si>
    <t>=IF(LEFT(I25,I26-1)="",0,LEFT(I25,I26-1))</t>
  </si>
  <si>
    <t>=NL("rows",NL("filter","Dimension Value","Name","Code",$C$9,"Dimension Code","SUBACCT","Company=",$C$4))</t>
  </si>
  <si>
    <t>=NP("join",F32:F33,"/")</t>
  </si>
  <si>
    <t>=SUBSTITUTE(F34,"!/","")</t>
  </si>
  <si>
    <t>=LEN(F35)</t>
  </si>
  <si>
    <t>=IF(ISERROR(IF(LEFT(F35,F36-1)="","",LEFT(F35,F36-1))),"",(IF(LEFT(F35,F36-1)="","",LEFT(F35,F36-1))))</t>
  </si>
  <si>
    <t>Auto+Hide+Hidesheet+Values+Formulas=Sheet11,Sheet12+FormulasOnly</t>
  </si>
  <si>
    <t>="HARMONY CDD"</t>
  </si>
  <si>
    <t>=NL("Lookup","company","name")</t>
  </si>
  <si>
    <t>="2017"</t>
  </si>
  <si>
    <t>="02/29/16"</t>
  </si>
  <si>
    <t>=NL("Lookup","fund","no.")</t>
  </si>
  <si>
    <t>="1"</t>
  </si>
  <si>
    <t>=NL("Lookup",F7:J7,"# of PY Actuals")</t>
  </si>
  <si>
    <t>1</t>
  </si>
  <si>
    <t>2</t>
  </si>
  <si>
    <t>3</t>
  </si>
  <si>
    <t>=NL("Lookup",F8:H8,"# of PY Budgets")</t>
  </si>
  <si>
    <t>=NL("Lookup",F9:G9,"Balance Budget")</t>
  </si>
  <si>
    <t>=NL("Lookup",F10:G10,"Copy Adopted Budget to Proposed")</t>
  </si>
  <si>
    <t>=NL("Lookup",F11:G11,"Hide Projected Totals")</t>
  </si>
  <si>
    <t>=NL("Lookup",F12:G12,"Show Account #")</t>
  </si>
  <si>
    <t>=NL("Lookup",F13:G13,"Show Total w/o Reserves")</t>
  </si>
  <si>
    <t>=NL("Lookup",F14:G14,"Show COGS")</t>
  </si>
  <si>
    <t>=NL("Lookup","Dimension Value","Code","Dimension Code","SUBACCT")</t>
  </si>
  <si>
    <t>=NL("Lookup",F16:G16,"Budget Worksheet")</t>
  </si>
  <si>
    <t>=NL("Lookup",F17:G17,"Balance Sheet - GASB 54")</t>
  </si>
  <si>
    <t>=NL("Lookup",F18:G18,"Subtotal Revenue")</t>
  </si>
  <si>
    <t>Auto+Hide+Values+Formulas=Sheet13,Sheet14+FormulasOnly</t>
  </si>
  <si>
    <t>=IF($F$9="no","Hide","Show")</t>
  </si>
  <si>
    <t>=P1</t>
  </si>
  <si>
    <t>=IF($F$7=4,"Show","Hide")</t>
  </si>
  <si>
    <t>=V1</t>
  </si>
  <si>
    <t>=IF($F$7&gt;=3,"Show","Hide")</t>
  </si>
  <si>
    <t>=X1</t>
  </si>
  <si>
    <t>=IF($F$7&gt;=2,"Show","Hide")</t>
  </si>
  <si>
    <t>=Z1</t>
  </si>
  <si>
    <t>=IF($F$7&gt;=1,"Show","Hide")</t>
  </si>
  <si>
    <t>=AB1</t>
  </si>
  <si>
    <t>=IF($F$8&gt;=2,"Show","Hide")</t>
  </si>
  <si>
    <t>=AD1</t>
  </si>
  <si>
    <t>=IF($F$8&gt;=1,"Show","Hide")</t>
  </si>
  <si>
    <t>=AF1</t>
  </si>
  <si>
    <t>=IF($F$9="no","Show","hide")</t>
  </si>
  <si>
    <t>=AH1</t>
  </si>
  <si>
    <t>="Data+"&amp;AH1</t>
  </si>
  <si>
    <t>=AL1</t>
  </si>
  <si>
    <t>=IF(AQ120=0,"hidesheet","Hide")</t>
  </si>
  <si>
    <t>=NP("eval","=CDD")</t>
  </si>
  <si>
    <t>=TEXT("..C"&amp;$F$5,"MM/DD/YYYY")</t>
  </si>
  <si>
    <t>=I9</t>
  </si>
  <si>
    <t>=I8</t>
  </si>
  <si>
    <t>=I7</t>
  </si>
  <si>
    <t>=I6</t>
  </si>
  <si>
    <t>=AB2</t>
  </si>
  <si>
    <t>=I5</t>
  </si>
  <si>
    <t>=AH2</t>
  </si>
  <si>
    <t>=NP("eval","=CDD_Name")</t>
  </si>
  <si>
    <t>=$J$4</t>
  </si>
  <si>
    <t>=NP("datefilter","10/1/"&amp;$H$10,RIGHT(V$2,9))</t>
  </si>
  <si>
    <t>=NP("datefilter","10/1/"&amp;$H$9,RIGHT(X$2,9))</t>
  </si>
  <si>
    <t>=NP("datefilter","10/1/"&amp;$H$8,RIGHT(Z$2,9))</t>
  </si>
  <si>
    <t>=NP("datefilter","10/1/"&amp;$H$7,RIGHT(AB$2,9))</t>
  </si>
  <si>
    <t>=NP("datefilter","10/1/"&amp;$H$7,RIGHT(AD$2,9))</t>
  </si>
  <si>
    <t>=NP("datefilter",LEFT($AH$3,9),RIGHT($AJ$3,9))</t>
  </si>
  <si>
    <t>=NP("datefilter",F5+1,RIGHT($I$11,9))</t>
  </si>
  <si>
    <t>=NP("datefilter","10/1/"&amp;$H$5,RIGHT($I$4,9))</t>
  </si>
  <si>
    <t>=IF(OR(NP("eval","=End_Date_SOR")="",NP("eval","=Budget_Fiscal_Year")=""),1991,NP("eval","=Budget_Fiscal_Year"))</t>
  </si>
  <si>
    <t>=F4</t>
  </si>
  <si>
    <t>="..C9/30/"&amp;H4</t>
  </si>
  <si>
    <t>="10/1/"&amp;H6&amp;".."&amp;F5</t>
  </si>
  <si>
    <t>=H4-1</t>
  </si>
  <si>
    <t>="..C9/30/"&amp;H5</t>
  </si>
  <si>
    <t>=NP("datefilter","10/1/"&amp;H10-1,RIGHT(I4,9))</t>
  </si>
  <si>
    <t>=AF5</t>
  </si>
  <si>
    <t>=I10</t>
  </si>
  <si>
    <t>=V2</t>
  </si>
  <si>
    <t>=X2</t>
  </si>
  <si>
    <t>=Z2</t>
  </si>
  <si>
    <t>=AB5</t>
  </si>
  <si>
    <t>=AD2</t>
  </si>
  <si>
    <t>=I11</t>
  </si>
  <si>
    <t>=$I$4</t>
  </si>
  <si>
    <t>=NP("eval","=Show_total_wo")</t>
  </si>
  <si>
    <t>=H5-1</t>
  </si>
  <si>
    <t>="..C9/30/"&amp;H6</t>
  </si>
  <si>
    <t>=NP("datefilter","10/1/"&amp;H4-3,RIGHT(I4,9))</t>
  </si>
  <si>
    <t>=VALUE((IF(NP("eval","=PY_actuals")="",0,NP("eval","=PY_actuals"))))</t>
  </si>
  <si>
    <t>=H6-1</t>
  </si>
  <si>
    <t>="..C9/30/"&amp;H7</t>
  </si>
  <si>
    <t>=VALUE((IF(NP("eval","=PY_budgets")="",0,NP("eval","=PY_budgets"))))</t>
  </si>
  <si>
    <t>=H7-1</t>
  </si>
  <si>
    <t>="..C9/30/"&amp;H8</t>
  </si>
  <si>
    <t>=RIGHT(AD2,4)&amp;"BUDA"</t>
  </si>
  <si>
    <t>=RIGHT(AF2,4)&amp;"BUDA"</t>
  </si>
  <si>
    <t>=IF(NP("eval","=Hide_PT")="","No",NP("eval","=Hide_PT"))</t>
  </si>
  <si>
    <t>=H8-1</t>
  </si>
  <si>
    <t>="..C9/30/"&amp;H9</t>
  </si>
  <si>
    <t>=NL("Eval","cdd")</t>
  </si>
  <si>
    <t>=IF(NP("eval","=Show_acct")="","No",NP("eval","=Show_acct"))</t>
  </si>
  <si>
    <t>=H9-1</t>
  </si>
  <si>
    <t>="..C9/30/"&amp;H10</t>
  </si>
  <si>
    <t>=NL("Eval","cdd_name")</t>
  </si>
  <si>
    <t>=IF(NP("eval","=Bal_bud")="","No",NP("eval","=Bal_bud"))</t>
  </si>
  <si>
    <t>=RIGHT(I11,4)</t>
  </si>
  <si>
    <t>="..C9/30/"&amp;IF(MONTH(F5)&lt;10,YEAR(F5),YEAR(F5)+1)</t>
  </si>
  <si>
    <t>=IF(NP("eval","Subaccount")="","*",NP("eval","=Subaccount"))</t>
  </si>
  <si>
    <t>=IF(F15="Yes","Yes",IF(NP("eval","=Include_Nav")="","No",NP("eval","=Include_Nav")))</t>
  </si>
  <si>
    <t>=IF(NP("eval","=COGS")="","No",NP("eval","=COGS"))</t>
  </si>
  <si>
    <t>=IF(NP("eval","=Budget_Draft")="","No",NP("eval","=Budget_Draft"))</t>
  </si>
  <si>
    <t>=IF(NP("eval","=Subtotal_Rev")="","No",NP("eval","=Subtotal_Rev"))</t>
  </si>
  <si>
    <t>=NL("sheets","Fund","No.","company=",$D$6,"No.",$D$7,"blocked","no")</t>
  </si>
  <si>
    <t>=SUBSTITUTE(IF(ISERROR(NL(,"Fund","Name","No.",$F$22,"company=",$D$6)&amp;" "&amp;"FUND"),"",PROPER(UPPER(NL(,"Fund","Name","No.",$F$22,"company=",$D$6)&amp;" "&amp;"FUND"))),"&amp;","and")</t>
  </si>
  <si>
    <t>=IF(NP("eval","SubAcctName")="","*",NP("eval","=SubAcctName"))</t>
  </si>
  <si>
    <t>=IF(F17="",0,F17)</t>
  </si>
  <si>
    <t>=IF(F12="*",H20,H21)</t>
  </si>
  <si>
    <t>=IF(ISERROR(IF(AND(VALUE($F$22)&gt;399,VALUE($F$22)&lt;500),$J$13,$J$12)),"",IF(AND(VALUE($F$22)&gt;399,VALUE($F$22)&lt;500),$J$13,$J$12))</t>
  </si>
  <si>
    <t>=H22</t>
  </si>
  <si>
    <t>="Fiscal Year " &amp;F4&amp; " Proposed Budget"</t>
  </si>
  <si>
    <t>=IF(F15="yes","show","Hide")</t>
  </si>
  <si>
    <t>=B29</t>
  </si>
  <si>
    <t>=IF(AD137=0,"ADOPTED","AMENDED")</t>
  </si>
  <si>
    <t>=IF(AF137=0,"ADOPTED","AMENDED")</t>
  </si>
  <si>
    <t>=UPPER(TEXT($F$5+1,"MMM"))&amp;" - "</t>
  </si>
  <si>
    <t>="FY "&amp;RIGHT(V2,4)</t>
  </si>
  <si>
    <t>="FY "&amp;RIGHT(X2,4)</t>
  </si>
  <si>
    <t>="FY "&amp;RIGHT(Z2,4)</t>
  </si>
  <si>
    <t>="FY "&amp;RIGHT(AB2,4)</t>
  </si>
  <si>
    <t>="FY "&amp;RIGHT(AD2,4)</t>
  </si>
  <si>
    <t>="FY "&amp;$H$5</t>
  </si>
  <si>
    <t>=UPPER(TEXT($F$5,"MMM-YYYY"))</t>
  </si>
  <si>
    <t>=UPPER(TEXT(RIGHT(AJ5,9),"mmm-yYYy"))</t>
  </si>
  <si>
    <t>="FY "&amp;$H$11</t>
  </si>
  <si>
    <t>="FY "&amp;$H$4</t>
  </si>
  <si>
    <t>=IF(R131=0,IF(AND($F$22&gt;"399",$F$22&lt;"500"),"OPERATING REVENUES","REVENUES"),"THIS REPORT HAS AN ERROR, THIS REPORT HAS AN ERROR, THIS REPORT HAS AN ERROR")</t>
  </si>
  <si>
    <t>=IF(OR($D$7=0,$F$16="YES"),0,"300001..361000|361002..369999")</t>
  </si>
  <si>
    <t>361001</t>
  </si>
  <si>
    <t>=$F$22</t>
  </si>
  <si>
    <t>=$J$7</t>
  </si>
  <si>
    <t>=$D$6</t>
  </si>
  <si>
    <t>=K38</t>
  </si>
  <si>
    <t>=IF($P38="","",(NL("Rows","G/L Account","Name","No.",$P38,"Company=",$D$6)))</t>
  </si>
  <si>
    <t>=IF($P38="",0,ROUND(-NL("SUM","G/L Entry","Amount","G/L Account No.",$P38,"Fund No.",$F$22,"Global Dimension 2 Code",$F$12,"Company=",$D$6,"Transaction Type",T$4,"Posting Date",T$3),0))</t>
  </si>
  <si>
    <t>=IF(OR(V$1="hide",$P38=""),0,ROUND(-NL("SUM","G/L Entry","Amount","G/L Account No.",$P38,"Fund No.",$F$22,"Global Dimension 2 Code",$F$12,"Company=",$D$6,"Transaction Type",V$4,"Posting Date",V$3),0))</t>
  </si>
  <si>
    <t>=IF(OR(X$1="hide",$P38=""),0,ROUND(-NL("SUM","G/L Entry","Amount","G/L Account No.",$P38,"Fund No.",$F$22,"Global Dimension 2 Code",$F$12,"Company=",$D$6,"Transaction Type",X$4,"Posting Date",X$3),0))</t>
  </si>
  <si>
    <t>=IF(OR(Z$1="hide",$P38=""),0,ROUND(-NL("SUM","G/L Entry","Amount","G/L Account No.",$P38,"Fund No.",$F$22,"Global Dimension 2 Code",$F$12,"Company=",$D$6,"Transaction Type",Z$4,"Posting Date",Z$3),0))</t>
  </si>
  <si>
    <t>=IF(OR(AB$1="hide",$P38=""),0,ROUND(-NL("SUM","G/L Entry","Amount","G/L Account No.",$P38,"Fund No.",$F$22,"Global Dimension 2 Code",$F$12,"Company=",$D$6,"Transaction Type",AB$4,"Posting Date",AB$3),0))</t>
  </si>
  <si>
    <t>=IF(OR(AD$1="hide",$P38=""),0,ROUND(-NL("SUM","G/L Entry","Amount","G/L Account No.",$P38,"Fund No.",$F$22,"Global Dimension 2 Code",$F$12,"Company=",$D$6,"Transaction Type",AD$4,"Posting Date",AD$3),0))</t>
  </si>
  <si>
    <t>=IF(OR(AF$1="hide",$P38=""),0,ROUND(-NL("SUM","G/L Entry","Amount","G/L Account No.",$P38,"Fund No.",$F$22,"Global Dimension 2 Code",$F$12,"Company=",$D$6,"Transaction Type",AF$4,"Posting Date",AF$3),0))</t>
  </si>
  <si>
    <t>=IF(OR(AH$1="hide",$P38=""),0,ROUND(-NL("SUM","G/L Entry","Amount","G/L Account No.",$P38,"Fund No.",$F$22,"Global Dimension 2 Code",$F$12,"Company=",$D$6,"Transaction Type",AH$4,"Posting Date",AH$3)+$Z140,0))</t>
  </si>
  <si>
    <t>=+AF38-AH38</t>
  </si>
  <si>
    <t>=IF(ISERROR(AH38+AJ38),0,(AH38+AJ38))</t>
  </si>
  <si>
    <t>=IF($F$13="yes",0,IF($P38="",0,-ROUND(NL("SUM","G/L Budget Entry","Amount","Fund No.",$F$22,"G/L Account No.",$P38,"Company=",$D$6,"Global Dimension 2 Code",$F$12,"Date",$AN$3),0)))</t>
  </si>
  <si>
    <t>=IF($F$13="YES",AF38,AN38)</t>
  </si>
  <si>
    <t>=ABS(SUMIF(V38:AP38,"&gt;0")-SUMIF(V38:AP38,"&lt;0"))</t>
  </si>
  <si>
    <t>=IF(AQ39=0,"Hide","Show")</t>
  </si>
  <si>
    <t>=NL("Rows", NL("Union", NL("allunique","G/L Entry",$E$20,$E$20,$E38,"Fund No.",$F$22,"Company=",$D$6,"Posting Date",$J$5),NL("allunique","G/L Budget Entry",$E$20,$E$20,$E38,"Fund Code",$F$22,"Company=",$D$6,"Date",$J$6)))</t>
  </si>
  <si>
    <t>=IF(K39="","8888888",K39)</t>
  </si>
  <si>
    <t>=K39</t>
  </si>
  <si>
    <t>=IF($P39="","",(NL("Rows","G/L Account","Name","No.",$P39,"Company=",$D$6)))</t>
  </si>
  <si>
    <t>=IF($P39="",0,ROUND(-NL("SUM","G/L Entry","Amount","G/L Account No.",$P39,"Fund No.",$F$22,"Global Dimension 2 Code",$F$12,"Company=",$D$6,"Transaction Type",T$4,"Posting Date",T$3),0))</t>
  </si>
  <si>
    <t>=IF(OR(V$1="hide",$P39=""),0,ROUND(-NL("SUM","G/L Entry","Amount","G/L Account No.",$P39,"Fund No.",$F$22,"Global Dimension 2 Code",$F$12,"Company=",$D$6,"Transaction Type",V$4,"Posting Date",V$3),0))</t>
  </si>
  <si>
    <t>=IF(OR(X$1="hide",$P39=""),0,ROUND(-NL("SUM","G/L Entry","Amount","G/L Account No.",$P39,"Fund No.",$F$22,"Global Dimension 2 Code",$F$12,"Company=",$D$6,"Transaction Type",X$4,"Posting Date",X$3),0))</t>
  </si>
  <si>
    <t>=IF(OR(Z$1="hide",$P39=""),0,ROUND(-NL("SUM","G/L Entry","Amount","G/L Account No.",$P39,"Fund No.",$F$22,"Global Dimension 2 Code",$F$12,"Company=",$D$6,"Transaction Type",Z$4,"Posting Date",Z$3),0))</t>
  </si>
  <si>
    <t>=IF(OR(AB$1="hide",$P39=""),0,ROUND(-NL("SUM","G/L Entry","Amount","G/L Account No.",$P39,"Fund No.",$F$22,"Global Dimension 2 Code",$F$12,"Company=",$D$6,"Transaction Type",AB$4,"Posting Date",AB$3),0))</t>
  </si>
  <si>
    <t>=IF(OR(AD$1="hide",$P39=""),0,ROUND(-NL("SUM","G/L Entry","Amount","G/L Account No.",$P39,"Fund No.",$F$22,"Global Dimension 2 Code",$F$12,"Company=",$D$6,"Transaction Type",AD$4,"Posting Date",AD$3),0))</t>
  </si>
  <si>
    <t>=IF(OR(AF$1="hide",$P39=""),0,ROUND(-NL("SUM","G/L Entry","Amount","G/L Account No.",$P39,"Fund No.",$F$22,"Global Dimension 2 Code",$F$12,"Company=",$D$6,"Transaction Type",AF$4,"Posting Date",AF$3),0))</t>
  </si>
  <si>
    <t>=IF(OR(AH$1="hide",$P39=""),0,ROUND(-NL("SUM","G/L Entry","Amount","G/L Account No.",$P39,"Fund No.",$F$22,"Global Dimension 2 Code",$F$12,"Company=",$D$6,"Transaction Type",AH$4,"Posting Date",AH$3),0))</t>
  </si>
  <si>
    <t>=+AF39-AH39</t>
  </si>
  <si>
    <t>=IF(ISERROR(AH39+AJ39),0,(AH39+AJ39))</t>
  </si>
  <si>
    <t>=IF($F$13="yes",0,IF($P39="",0,-ROUND(NL("SUM","G/L Budget Entry","Amount","Fund No.",$F$22,"G/L Account No.",$P39,"Company=",$D$6,"Global Dimension 2 Code",$F$12,"Date",$AN$3),0)))</t>
  </si>
  <si>
    <t>=IF($F$13="YES",AF39,AN39)</t>
  </si>
  <si>
    <t>=ABS(SUMIF(V39:AP39,"&gt;0")-SUMIF(V39:AP39,"&lt;0"))</t>
  </si>
  <si>
    <t>=IF(OR($D$7=0,$F$16="NO"),0,"300001..361000|361002..369999")</t>
  </si>
  <si>
    <t>=NL("Rows=6","G/L Entry","Global Dimension 2 Code","G/L Account No.",$E$41,"Global Dimension 2 Code",$F$12,"Fund No.",$F$22,"Company=",$D$6,"Posting Date",$J$5)</t>
  </si>
  <si>
    <t>=B46</t>
  </si>
  <si>
    <t>=IF(I42="","9999999",I42)</t>
  </si>
  <si>
    <t>=NL("Rows","Dimension Value","Name","Code","@@"&amp;$I43,"Dimension Code","SUBACCT","Company=",$D$6)</t>
  </si>
  <si>
    <t>=$V$33</t>
  </si>
  <si>
    <t>=$X$33</t>
  </si>
  <si>
    <t>=$Z$33</t>
  </si>
  <si>
    <t>=$AB$33</t>
  </si>
  <si>
    <t>=IF(AQ44=0,"Hide","Show")</t>
  </si>
  <si>
    <t>=I43</t>
  </si>
  <si>
    <t>=NL("Rows", NL("Union", NL("allunique","G/L Entry",$E$20,$E$20,$E$41,"Fund No.",$F$22,$E$23,$I44,"Company=",$D$6,"Posting Date",$J$5),NL("allunique","G/L Budget Entry",$E$20,$E$20,$E$41,"Fund Code",$F$22,$E$23,$I44,"Company=",$D$6,"Date",$J$6)))</t>
  </si>
  <si>
    <t>=K44 &amp;" "&amp;I44</t>
  </si>
  <si>
    <t>=K44</t>
  </si>
  <si>
    <t>=IF($P44="","",(NL("Rows","G/L Account","Name","No.",$P44,"Company=",$D$6)))</t>
  </si>
  <si>
    <t>=IF($P44="",0,ROUND(-NL("SUM","G/L Entry","Amount","G/L Account No.",$P44,"Fund No.",$F$22,"Global Dimension 2 Code",$I44,"Company=",$D$6,"Transaction Type",T$4,"Posting Date",T$3),0))</t>
  </si>
  <si>
    <t>=IF(OR(V$1="hide",$P44=""),0,ROUND(-NL("SUM","G/L Entry","Amount","G/L Account No.",$P44,"Fund No.",$F$22,"Global Dimension 2 Code",$I44,"Company=",$D$6,"Transaction Type",V$4,"Posting Date",V$3),0))</t>
  </si>
  <si>
    <t>=IF(OR(X$1="hide",$P44=""),0,ROUND(-NL("SUM","G/L Entry","Amount","G/L Account No.",$P44,"Fund No.",$F$22,"Global Dimension 2 Code",I44,"Company=",$D$6,"Transaction Type",X$4,"Posting Date",X$3),0))</t>
  </si>
  <si>
    <t>=IF(OR(Z$1="hide",$P44=""),0,ROUND(-NL("SUM","G/L Entry","Amount","G/L Account No.",$P44,"Fund No.",$F$22,"Global Dimension 2 Code",$I44,"Company=",$D$6,"Transaction Type",Z$4,"Posting Date",Z$3),0))</t>
  </si>
  <si>
    <t>=IF(OR(AB$1="hide",$P44=""),0,ROUND(-NL("SUM","G/L Entry","Amount","G/L Account No.",$P44,"Fund No.",$F$22,"Global Dimension 2 Code",$I44,"Company=",$D$6,"Transaction Type",AB$4,"Posting Date",AB$3),0))</t>
  </si>
  <si>
    <t>=IF(OR(AD$1="hide",$P44=""),0,ROUND(-NL("SUM","G/L Entry","Amount","G/L Account No.",$P44,"Fund No.",$F$22,"Global Dimension 2 Code",$I44,"Company=",$D$6,"Transaction Type",AD$4,"Posting Date",AD$3),0))</t>
  </si>
  <si>
    <t>=IF(OR(AF$1="hide",$P44=""),0,ROUND(-NL("SUM","G/L Entry","Amount","G/L Account No.",$P44,"Fund No.",$F$22,"Global Dimension 2 Code",$I44,"Company=",$D$6,"Transaction Type",AF$4,"Posting Date",AF$3),0))</t>
  </si>
  <si>
    <t>=IF(OR(AH$1="hide",$P44=""),0,ROUND(-NL("SUM","G/L Entry","Amount","G/L Account No.",$P44,"Fund No.",$F$22,"Global Dimension 2 Code",$I44,"Company=",$D$6,"Transaction Type",AH$4,"Posting Date",AH$3),0))</t>
  </si>
  <si>
    <t>=+AF44-AH44</t>
  </si>
  <si>
    <t>=IF(ISERROR(AH44+AJ44),0,(AH44+AJ44))</t>
  </si>
  <si>
    <t>=IF($F$13="yes",0,IF($P44="",0,-ROUND(NL("SUM","G/L Budget Entry","Amount","Fund No.",$F$22,"G/L Account No.",$P44,"Company=",$D$6,"Global Dimension 2 Code",$I44,"Date",$AN$3),0)))</t>
  </si>
  <si>
    <t>=IF($F$13="YES",AF44,AN44)</t>
  </si>
  <si>
    <t>=ABS(SUMIF(V44:AP44,"&gt;0")-SUMIF(V44:AP44,"&lt;0"))</t>
  </si>
  <si>
    <t>=I44</t>
  </si>
  <si>
    <t>=IF(AQ46=0,"Hide","Show")</t>
  </si>
  <si>
    <t>=I45</t>
  </si>
  <si>
    <t>=SUM(T43:T45)</t>
  </si>
  <si>
    <t>=SUM(V43:V45)</t>
  </si>
  <si>
    <t>=SUM(X43:X45)</t>
  </si>
  <si>
    <t>=SUM(Z43:Z45)</t>
  </si>
  <si>
    <t>=SUM(AB43:AB45)</t>
  </si>
  <si>
    <t>=SUM(AD43:AD45)</t>
  </si>
  <si>
    <t>=SUM(AF43:AF45)</t>
  </si>
  <si>
    <t>=SUM(AH43:AH45)</t>
  </si>
  <si>
    <t>=SUM(AJ43:AJ45)</t>
  </si>
  <si>
    <t>=SUM(AL43:AL45)</t>
  </si>
  <si>
    <t>=SUM(AN43:AN45)</t>
  </si>
  <si>
    <t>=SUM(AP43:AP45)</t>
  </si>
  <si>
    <t>=ABS(SUMIF(V46:AP46,"&gt;0")-SUMIF(V46:AP46,"&lt;0"))</t>
  </si>
  <si>
    <t>=I46</t>
  </si>
  <si>
    <t>=IF(AND($F$22&gt;"399",$F$22&lt;"500"),"TOTAL OPERATING REVENUES","TOTAL REVENUES")</t>
  </si>
  <si>
    <t>=SUM(T37:T40)+SUM(AU44:AU48)</t>
  </si>
  <si>
    <t>=SUM(V37:V40)+SUM(AV44:AV48)</t>
  </si>
  <si>
    <t>=SUM(X37:X40)+SUM(AW44:AW48)</t>
  </si>
  <si>
    <t>=SUM(Z37:Z40)+SUM(AX44:AX48)</t>
  </si>
  <si>
    <t>=SUM(AB37:AB40)+SUM(AY44:AY48)</t>
  </si>
  <si>
    <t>=SUM(AD37:AD40)+SUM(AZ44:AZ48)</t>
  </si>
  <si>
    <t>=SUM(AF37:AF40)+SUM(BA44:BA48)</t>
  </si>
  <si>
    <t>=SUM(AH37:AH40)+SUM(BB44:BB48)</t>
  </si>
  <si>
    <t>=SUM(AJ37:AJ40)+SUM(BC44:BC48)</t>
  </si>
  <si>
    <t>=SUM(AL37:AL40)+SUM(BD44:BD48)</t>
  </si>
  <si>
    <t>=SUM(AN37:AN40)+SUM(BE44:BE48)</t>
  </si>
  <si>
    <t>=SUM(AP37:AP40)+SUM(BF44:BF48)</t>
  </si>
  <si>
    <t>=ABS(SUMIF(V49:AP49,"&gt;0")-SUMIF(V49:AP49,"&lt;0"))</t>
  </si>
  <si>
    <t>=IF(AQ55=0,"Hide","Show")</t>
  </si>
  <si>
    <t>=IF(OR($F$22=0,VALUE($F$22)&lt;=399,VALUE($F$22)&gt;499,$F$14="NO"),0,"552099..552199")</t>
  </si>
  <si>
    <t>=IF(AQ53=0,"Hide","Show")</t>
  </si>
  <si>
    <t>=NL("Rows", NL("Union", NL("allunique","G/L Entry",$E$20,$E$20,$E51,"Fund No.",$F$22,"Company=",$D$6,"Posting Date",$J$5),NL("allunique","G/L Budget Entry",$E$20,$E$20,$E51,"Fund Code",$F$22,"Company=",$D$6,"Date",$J$6)))</t>
  </si>
  <si>
    <t>=IF(K53="","500000 50000",K53&amp;" "&amp;"50000")</t>
  </si>
  <si>
    <t>=K53</t>
  </si>
  <si>
    <t>=IF($P53="","",(NL("Rows","G/L Account","Name","No.",$P53,"Company=",$D$6)))</t>
  </si>
  <si>
    <t>=IF(OR($F$14="no",$P53=""),0,ROUND(NL("SUM","G/L Entry","Amount","G/L Account No.",$P53,"Fund No.",$F$22,"Global Dimension 2 Code",$F$12,"Company=",$D$6,"Transaction Type",T$4,"Posting Date",T$3),0))</t>
  </si>
  <si>
    <t>=IF(OR(V$1="hide",$F$14="no",$P53=""),0,ROUND(NL("SUM","G/L Entry","Amount","G/L Account No.",$P53,"Fund No.",$F$22,"Global Dimension 2 Code",$F$12,"Company=",$D$6,"Transaction Type",V$4,"Posting Date",V$3),0))</t>
  </si>
  <si>
    <t>=IF(OR(X$1="hide",$F$14="no",$P53=""),0,ROUND(NL("SUM","G/L Entry","Amount","G/L Account No.",$P53,"Fund No.",$F$22,"Global Dimension 2 Code",$F$12,"Company=",$D$6,"Transaction Type",X$4,"Posting Date",X$3),0))</t>
  </si>
  <si>
    <t>=IF(OR(Z$1="hide",$F$14="no",$P53=""),0,ROUND(NL("SUM","G/L Entry","Amount","G/L Account No.",$P53,"Fund No.",$F$22,"Global Dimension 2 Code",$F$12,"Company=",$D$6,"Transaction Type",Z$4,"Posting Date",Z$3),0))</t>
  </si>
  <si>
    <t>=IF(OR(AB$1="hide",$F$14="no",$P53=""),0,ROUND(NL("SUM","G/L Entry","Amount","G/L Account No.",$P53,"Fund No.",$F$22,"Global Dimension 2 Code",$F$12,"Company=",$D$6,"Transaction Type",AB$4,"Posting Date",AB$3),0))</t>
  </si>
  <si>
    <t>=IF(OR(AD$1="hide",$F$14="no",$P53=""),0,ROUND(NL("SUM","G/L Entry","Amount","G/L Account No.",$P53,"Fund No.",$F$22,"Global Dimension 2 Code",$F$12,"Company=",$D$6,"Transaction Type",AD$4,"Posting Date",AD$3),0))</t>
  </si>
  <si>
    <t>=IF(OR(AF$1="hide",$F$14="no",$P53=""),0,ROUND(NL("SUM","G/L Entry","Amount","G/L Account No.",$P53,"Fund No.",$F$22,"Global Dimension 2 Code",$F$12,"Company=",$D$6,"Transaction Type",AF$4,"Posting Date",AF$3),0))</t>
  </si>
  <si>
    <t>=IF(OR(AH$1="hide",$F$14="no",$P53=""),0,SUM(ROUND(NL("SUM","G/L Entry","Amount","G/L Account No.",$P53,"Fund No.",$F$22,"Global Dimension 2 Code",$F$12,"Company=",$D$6,"Transaction Type",AH$4,"Posting Date",AH$3),0),IF($P53="549001",-$AH$67,IF($P53="549900",-$AH$67,0))))</t>
  </si>
  <si>
    <t>=IF(ISERROR(AH53+AJ53),0,(AH53+AJ53))</t>
  </si>
  <si>
    <t>=IF(OR($F$14="no",$F$13="yes"),0,IF($P53="",0,ROUND(NL("SUM","G/L Budget Entry","Amount","Fund No.",$F$22,"G/L Account No.",$P53,"Company=",$D$6,"Global Dimension 2 Code",$F$12,"Date",$AN$3),0)))</t>
  </si>
  <si>
    <t>=IF($F$13="YES",AF53,AN53)</t>
  </si>
  <si>
    <t>=ABS(SUMIF(V53:AP53,"&gt;0")-SUMIF(V53:AP53,"&lt;0"))</t>
  </si>
  <si>
    <t>=IF(AND($F$22&gt;"399",$F$22&lt;"500",$F$14="yes"),"Total Cost of Goods Sold","")</t>
  </si>
  <si>
    <t>=SUM(T52:T54)</t>
  </si>
  <si>
    <t>=SUM(V52:V54)</t>
  </si>
  <si>
    <t>=SUM(X52:X54)</t>
  </si>
  <si>
    <t>=SUM(Z52:Z54)</t>
  </si>
  <si>
    <t>=SUM(AB52:AB54)</t>
  </si>
  <si>
    <t>=SUM(AD52:AD54)</t>
  </si>
  <si>
    <t>=SUM(AF52:AF54)</t>
  </si>
  <si>
    <t>=SUM(AH52:AH54)</t>
  </si>
  <si>
    <t>=SUM(AJ52:AJ54)</t>
  </si>
  <si>
    <t>=SUM(AL52:AL54)</t>
  </si>
  <si>
    <t>=SUM(AN52:AN54)</t>
  </si>
  <si>
    <t>=SUM(AP52:AP54)</t>
  </si>
  <si>
    <t>=ABS(SUMIF(V55:AP55,"&gt;0")-SUMIF(V55:AP55,"&lt;0"))</t>
  </si>
  <si>
    <t>=B55</t>
  </si>
  <si>
    <t>=B56</t>
  </si>
  <si>
    <t>=IF(AND($F$22&gt;"399",$F$22&lt;"500",$F$14="yes"),"GROSS PROFIT","")</t>
  </si>
  <si>
    <t>=IF(OR(VALUE($F$22)&lt;=399,VALUE($F$22)&gt;499,$F$14="NO"),0,T49-T55)</t>
  </si>
  <si>
    <t>=IF(OR(VALUE($F$22)&lt;=399,VALUE($F$22)&gt;499,$F$14="NO"),0,V49-V55)</t>
  </si>
  <si>
    <t>=IF(OR(VALUE($F$22)&lt;=399,VALUE($F$22)&gt;499,$F$14="NO"),0,X49-X55)</t>
  </si>
  <si>
    <t>=IF(OR(VALUE($F$22)&lt;=399,VALUE($F$22)&gt;499,$F$14="NO"),0,Z49-Z55)</t>
  </si>
  <si>
    <t>=IF(OR(VALUE($F$22)&lt;=399,VALUE($F$22)&gt;499,$F$14="NO"),0,AB49-AB55)</t>
  </si>
  <si>
    <t>=IF(OR(VALUE($F$22)&lt;=399,VALUE($F$22)&gt;499,$F$14="NO"),0,AD49-AD55)</t>
  </si>
  <si>
    <t>=IF(OR(VALUE($F$22)&lt;=399,VALUE($F$22)&gt;499,$F$14="NO"),0,AF49-AF55)</t>
  </si>
  <si>
    <t>=IF(OR(VALUE($F$22)&lt;=399,VALUE($F$22)&gt;499,$F$14="NO"),0,AH49-AH55)</t>
  </si>
  <si>
    <t>=IF(OR(VALUE($F$22)&lt;=399,VALUE($F$22)&gt;499,$F$14="NO"),0,AJ49-AJ55)</t>
  </si>
  <si>
    <t>=IF(OR(VALUE($F$22)&lt;=399,VALUE($F$22)&gt;499,$F$14="NO"),0,AL49-AL55)</t>
  </si>
  <si>
    <t>=IF(OR(VALUE($F$22)&lt;=399,VALUE($F$22)&gt;499,$F$14="NO"),0,AN49-AN55)</t>
  </si>
  <si>
    <t>=IF(OR(VALUE($F$22)&lt;=399,VALUE($F$22)&gt;499,$F$14="NO"),0,AP49-AP55)</t>
  </si>
  <si>
    <t>=ABS(SUMIF(V57:AP57,"&gt;0")-SUMIF(V57:AP57,"&lt;0"))</t>
  </si>
  <si>
    <t>=B57</t>
  </si>
  <si>
    <t>=IF(AND($F$22&gt;"399",$F$22&lt;"500"),"OPERATING EXPENSES","EXPENDITURES")</t>
  </si>
  <si>
    <t>=B65</t>
  </si>
  <si>
    <t>=IF(AND($F$22&gt;"399",$F$22&lt;"500"),"Personnel and Administration","Administrative")</t>
  </si>
  <si>
    <t>=IF($F$22=0,0,IF(OR($F$14="No",VALUE($F$22)&lt;=399,VALUE($F$22)&gt;499),"500000..564999|566000..579999","500000..552098|552200..564999|566000..579999"))</t>
  </si>
  <si>
    <t>=IF(AQ63=0,"Hide","Show")</t>
  </si>
  <si>
    <t>=NL("Rows", NL("Union", NL("allunique","G/L Entry",$E$20,$E$20,$E62,"Fund No.",$F$22,$E$21,$H62,"Company=",$D$6,"Posting Date",$J$5),NL("allunique","G/L Budget Entry",$E$20,$E$20,$E62,"Fund Code",$F$22,$E$21,$H62,"Company=",$D$6,"Date",$J$6)))</t>
  </si>
  <si>
    <t>=IF(K63="","500000 51699",K63&amp;" "&amp;"51699")</t>
  </si>
  <si>
    <t>=K63</t>
  </si>
  <si>
    <t>=IF($P63="","",(NL("Rows","G/L Account","Name","No.",$P63,"Company=",$D$6)))</t>
  </si>
  <si>
    <t>=IF($P63="",0,ROUND(NL("SUM","G/L Entry","Amount","G/L Account No.",$P63,"Fund No.",$F$22,"Global Dimension 2 Code",$F$12,"Global Dimension 1 Code",$H$62,"Company=",$D$6,"Transaction Type",T$4,"Posting Date",T$3),0))</t>
  </si>
  <si>
    <t>=IF(OR(V$1="hide",$P63=""),0,ROUND(NL("SUM","G/L Entry","Amount","G/L Account No.",$P63,"Fund No.",$F$22,"Global Dimension 2 Code",$F$12,"Global Dimension 1 Code",$H$62,"Company=",$D$6,"Transaction Type",V$4,"Posting Date",V$3),0))</t>
  </si>
  <si>
    <t>=IF(OR(X$1="hide",$P63=""),0,ROUND(NL("SUM","G/L Entry","Amount","G/L Account No.",$P63,"Fund No.",$F$22,"Global Dimension 2 Code",$F$12,"Global Dimension 1 Code",$H$62,"Company=",$D$6,"Transaction Type",X$4,"Posting Date",X$3),0))</t>
  </si>
  <si>
    <t>=IF(OR(Z$1="hide",$P63=""),0,ROUND(NL("SUM","G/L Entry","Amount","G/L Account No.",$P63,"Fund No.",$F$22,"Global Dimension 2 Code",$F$12,"Global Dimension 1 Code",$H$62,"Company=",$D$6,"Transaction Type",Z$4,"Posting Date",Z$3),0))</t>
  </si>
  <si>
    <t>=IF(OR(AB$1="hide",$P63=""),0,ROUND(NL("SUM","G/L Entry","Amount","G/L Account No.",$P63,"Fund No.",$F$22,"Global Dimension 2 Code",$F$12,"Global Dimension 1 Code",$H$62,"Company=",$D$6,"Transaction Type",AB$4,"Posting Date",AB$3),0))</t>
  </si>
  <si>
    <t>=IF(OR(AD$1="hide",$P63=""),0,ROUND(NL("SUM","G/L Entry","Amount","G/L Account No.",$P63,"Fund No.",$F$22,"Global Dimension 2 Code",$F$12,"Global Dimension 1 Code",$H$62,"Company=",$D$6,"Transaction Type",AD$4,"Posting Date",AD$3),0))</t>
  </si>
  <si>
    <t>=IF(OR(AF$1="hide",$P63=""),0,ROUND(NL("SUM","G/L Entry","Amount","G/L Account No.",$P63,"Fund No.",$F$22,"Global Dimension 2 Code",$F$12,"Global Dimension 1 Code",$H$62,"Company=",$D$6,"Transaction Type",AF$4,"Posting Date",AF$3),0))</t>
  </si>
  <si>
    <t>=IF(OR(AH$1="hide",$P63=""),0,SUM(ROUND(NL("SUM","G/L Entry","Amount","G/L Account No.",$P63,"Fund No.",$F$22,"Global Dimension 2 Code",$F$12,"Global Dimension 1 Code",$H$62,"Company=",$D$6,"Transaction Type",AH$4,"Posting Date",AH$3),0),IF($P63="549001",-$AH$67,IF($P63="549900",-$AH$67,0))))</t>
  </si>
  <si>
    <t>=IF(ISERROR(AH63+AJ63),0,(AH63+AJ63))</t>
  </si>
  <si>
    <t>=IF($F$13="yes",0,IF($P63="",0,ROUND(NL("SUM","G/L Budget Entry","Amount","Fund No.",$F$22,"G/L Account No.",$P63,"Global Dimension 1 Code",$H$62,"Company=",$D$6,"Global Dimension 2 Code",$F$12,"Date",$AN$3),0)))</t>
  </si>
  <si>
    <t>=IF($F$13="YES",AF63,AN63)</t>
  </si>
  <si>
    <t>=ABS(SUMIF(V63:AP63,"&gt;0")-SUMIF(V63:AP63,"&lt;0"))</t>
  </si>
  <si>
    <t>=IF(AQ65=0,"Hide","Show")</t>
  </si>
  <si>
    <t>="Total "&amp;R61</t>
  </si>
  <si>
    <t>=SUM(T63:T64)</t>
  </si>
  <si>
    <t>=SUM(V63:V64)</t>
  </si>
  <si>
    <t>=SUM(X63:X64)</t>
  </si>
  <si>
    <t>=SUM(Z63:Z64)</t>
  </si>
  <si>
    <t>=SUM(AB63:AB64)</t>
  </si>
  <si>
    <t>=SUM(AD63:AD64)</t>
  </si>
  <si>
    <t>=SUM(AF63:AF64)</t>
  </si>
  <si>
    <t>=SUM(AH63:AH64)</t>
  </si>
  <si>
    <t>=SUM(AJ63:AJ64)</t>
  </si>
  <si>
    <t>=SUM(AL63:AL64)</t>
  </si>
  <si>
    <t>=SUM(AN63:AN64)</t>
  </si>
  <si>
    <t>=SUM(AP63:AP64)</t>
  </si>
  <si>
    <t>=ABS(SUMIF(V65:AP65,"&gt;0")-SUMIF(V65:AP65,"&lt;0"))</t>
  </si>
  <si>
    <t>=$Z$141+$Z$142</t>
  </si>
  <si>
    <t>=NL("Rows=6", NL("Union", NL("allunique","G/L Entry",$E$21,$E$20,$E$67,$E$21,$H$67,"Fund No.",F$22,"Company=",$D$6,"Posting Date",$J$5),NL("allunique","G/L Budget Entry",$E$21,$E$20,$E$67,$E$21,$H$67,"Fund Code",F$22,"Company=",$D$6,"Date",$J$6)))</t>
  </si>
  <si>
    <t>=IF(AQ73=0,"Hide","Show")</t>
  </si>
  <si>
    <t>=I69</t>
  </si>
  <si>
    <t>=IF($I70="","",(NL("Rows","Dimension Value","Name","Dimension Code",$H69,"Code",$I70,"Company=",$D$6)))</t>
  </si>
  <si>
    <t>=IF(AQ71=0,"Hide","Show")</t>
  </si>
  <si>
    <t>=NL("Rows", NL("Union", NL("allunique","G/L Entry",$E$20,$E$20,$E$67,$E$22,$F$22,$E$21,"@@"&amp;I71,"Company=",$D$6,"Posting Date",$J$5),NL("allunique","G/L Budget Entry",$E$20,$E$20,$E$67,$E$24,$F$22,$E$21,"@@"&amp;I71,"Company=",$D$6,"Date",$J$6)))</t>
  </si>
  <si>
    <t>=IF(I71="","500000 51800",K71&amp;" "&amp;I71)</t>
  </si>
  <si>
    <t>=K71</t>
  </si>
  <si>
    <t>=IF($P71="","",NL("Rows","G/L Account","Name","No.",$P71,"Company=",$D$6))</t>
  </si>
  <si>
    <t>=IF($P71="",0,ROUND(NL("SUM","G/L Entry","Amount","G/L Account No.",$P71,"Fund No.",$F$22,"Global Dimension 2 Code",$F$12,"Global Dimension 1 Code","@@"&amp;$I71,"Company=",$D$6,"Transaction Type",T$4,"Posting Date",T$3),0))</t>
  </si>
  <si>
    <t>=IF(OR(V$1="hide",$P71=""),0,ROUND(NL("SUM","G/L Entry","Amount","G/L Account No.",$P71,"Fund No.",$F$22,"Global Dimension 2 Code",$F$12,"Global Dimension 1 Code","@@"&amp;$I71,"Company=",$D$6,"Transaction Type",V$4,"Posting Date",V$3),0))</t>
  </si>
  <si>
    <t>=IF(OR(X$1="hide",$P71=""),0,ROUND(NL("SUM","G/L Entry","Amount","G/L Account No.",$P71,"Fund No.",$F$22,"Global Dimension 2 Code",$F$12,"Global Dimension 1 Code","@@"&amp;$I71,"Company=",$D$6,"Transaction Type",X$4,"Posting Date",X$3),0))</t>
  </si>
  <si>
    <t>=IF(OR(Z$1="hide",$P71=""),0,ROUND(NL("SUM","G/L Entry","Amount","G/L Account No.",$P71,"Fund No.",$F$22,"Global Dimension 2 Code",$F$12,"Global Dimension 1 Code","@@"&amp;$I71,"Company=",$D$6,"Transaction Type",Z$4,"Posting Date",Z$3),0))</t>
  </si>
  <si>
    <t>=IF(OR(AB$1="hide",$P71=""),0,ROUND(NL("SUM","G/L Entry","Amount","G/L Account No.",$P71,"Fund No.",$F$22,"Global Dimension 2 Code",$F$12,"Global Dimension 1 Code","@@"&amp;$I71,"Company=",$D$6,"Transaction Type",AB$4,"Posting Date",AB$3),0))</t>
  </si>
  <si>
    <t>=IF(OR(AD$1="hide",$P71=""),0,ROUND(NL("SUM","G/L Entry","Amount","G/L Account No.",$P71,"Fund No.",$F$22,"Global Dimension 2 Code",$F$12,"Global Dimension 1 Code","@@"&amp;$I71,"Company=",$D$6,"Transaction Type",AD$4,"Posting Date",AD$3),0))</t>
  </si>
  <si>
    <t>=IF(OR(AF$1="hide",$P71=""),0,ROUND(NL("SUM","G/L Entry","Amount","G/L Account No.",$P71,"Fund No.",$F$22,"Global Dimension 2 Code",$F$12,"Global Dimension 1 Code","@@"&amp;$I71,"Company=",$D$6,"Transaction Type",AF$4,"Posting Date",AF$3),0))</t>
  </si>
  <si>
    <t>=IF(OR(AH$1="hide",$P71=""),0,(ROUND(NL("SUM","G/L Entry","Amount","G/L Account No.",$P71,"Fund No.",$F$22,"Global Dimension 2 Code",$F$12,"Global Dimension 1 Code","@@"&amp;$I71,"Company=",$D$6,"Transaction Type",AH$4,"Posting Date",AH$3),0)))</t>
  </si>
  <si>
    <t>=IF(ISERROR(AH71+AJ71),0,(AH71+AJ71))</t>
  </si>
  <si>
    <t>=IF($F$13="yes",0,IF($P71="",0,ROUND(NL("SUM","G/L Budget Entry","Amount","Fund No.",$F$22,"G/L Account No.",$P71,"Company=",$D$6,"Global Dimension 1 Code","@@"&amp;$I71,"Global Dimension 2 Code",$F$12,"Date",$AN$3),0)))</t>
  </si>
  <si>
    <t>=IF($F$13="YES",AF71,AN71)</t>
  </si>
  <si>
    <t>=ABS(SUMIF(V71:AP71,"&gt;0")-SUMIF(V71:AP71,"&lt;0"))</t>
  </si>
  <si>
    <t>=I71</t>
  </si>
  <si>
    <t>=I72</t>
  </si>
  <si>
    <t>="Total " &amp;($R70)</t>
  </si>
  <si>
    <t>=SUM(T71:T72)</t>
  </si>
  <si>
    <t>=SUM(V71:V72)</t>
  </si>
  <si>
    <t>=SUM(X71:X72)</t>
  </si>
  <si>
    <t>=SUM(Z71:Z72)</t>
  </si>
  <si>
    <t>=SUM(AB71:AB72)</t>
  </si>
  <si>
    <t>=SUM(AD71:AD72)</t>
  </si>
  <si>
    <t>=SUM(AF71:AF72)</t>
  </si>
  <si>
    <t>=SUM(AH71:AH72)</t>
  </si>
  <si>
    <t>=SUM(AJ71:AJ72)</t>
  </si>
  <si>
    <t>=SUM(AL71:AL72)</t>
  </si>
  <si>
    <t>=SUM(AN71:AN72)</t>
  </si>
  <si>
    <t>=SUM(AP71:AP72)</t>
  </si>
  <si>
    <t>=ABS(SUMIF(V73:AP73,"&gt;0")-SUMIF(V73:AP73,"&lt;0"))</t>
  </si>
  <si>
    <t>=SUM(T70:T72)</t>
  </si>
  <si>
    <t>=SUM(V70:V72)</t>
  </si>
  <si>
    <t>=SUM(X70:X72)</t>
  </si>
  <si>
    <t>=SUM(Z70:Z72)</t>
  </si>
  <si>
    <t>=SUM(AB70:AB72)</t>
  </si>
  <si>
    <t>=SUM(AD70:AD72)</t>
  </si>
  <si>
    <t>=SUM(AF70:AF72)</t>
  </si>
  <si>
    <t>=SUM(AH70:AH72)</t>
  </si>
  <si>
    <t>=SUM(AJ70:AJ72)</t>
  </si>
  <si>
    <t>=SUM(AL70:AL72)</t>
  </si>
  <si>
    <t>=SUM(AN70:AN72)</t>
  </si>
  <si>
    <t>=SUM(AP70:AP72)</t>
  </si>
  <si>
    <t>=B73</t>
  </si>
  <si>
    <t>=I73</t>
  </si>
  <si>
    <t>=SUM(AU72:AU75)</t>
  </si>
  <si>
    <t>=SUM(AV72:AV75)</t>
  </si>
  <si>
    <t>=SUM(AW72:AW75)</t>
  </si>
  <si>
    <t>=SUM(AX72:AX75)</t>
  </si>
  <si>
    <t>=SUM(AY72:AY75)</t>
  </si>
  <si>
    <t>=SUM(AZ72:AZ75)</t>
  </si>
  <si>
    <t>=SUM(BA72:BA75)</t>
  </si>
  <si>
    <t>=SUM(BB72:BB75)</t>
  </si>
  <si>
    <t>=SUM(BC72:BC75)</t>
  </si>
  <si>
    <t>=SUM(BD72:BD75)</t>
  </si>
  <si>
    <t>=SUM(BE72:BE75)</t>
  </si>
  <si>
    <t>=SUM(BF72:BF75)</t>
  </si>
  <si>
    <t>=$Z$143+$Z$144+$Z$145+$Z$146</t>
  </si>
  <si>
    <t>=IF(AQ81=0,"Hide","Show")</t>
  </si>
  <si>
    <t>=IF(AQ79=0,"Hide","Show")</t>
  </si>
  <si>
    <t>=NL("Rows", NL("Union", NL("allunique","G/L Entry",$E$20,$E$20,$E$77,"Fund No.",$F$22,"Company=",$D$6,"Posting Date",$J$5),NL("allunique","G/L Budget Entry",$E$20,$E$20,$E$77,"Fund Code",$F$22,"Company=",$D$6,"Date",$J$6)))</t>
  </si>
  <si>
    <t>=IF(K79="","565999",K79)</t>
  </si>
  <si>
    <t>=K79</t>
  </si>
  <si>
    <t>=IF($P79="","",NL("Rows","G/L Account","Name","No.",$P79,"Company=",$D$6))</t>
  </si>
  <si>
    <t>=IF($P79="",0,ROUND(NL("SUM","G/L Entry","Amount","G/L Account No.",$P79,"Fund No.",$F$22,"Global Dimension 2 Code",$F$12,"Company=",$D$6,"Transaction Type",T$4,"Posting Date",T$3),0))</t>
  </si>
  <si>
    <t>=IF(OR(V$1="hide",$P79=""),0,ROUND(NL("SUM","G/L Entry","Amount","G/L Account No.",$P79,"Fund No.",$F$22,"Global Dimension 2 Code",$F$12,"Company=",$D$6,"Transaction Type",V$4,"Posting Date",V$3),0))</t>
  </si>
  <si>
    <t>=IF(OR(X$1="hide",$P79=""),0,ROUND(NL("SUM","G/L Entry","Amount","G/L Account No.",$P79,"Fund No.",$F$22,"Global Dimension 2 Code",$F$12,"Company=",$D$6,"Transaction Type",X$4,"Posting Date",X$3),0))</t>
  </si>
  <si>
    <t>=IF(OR(Z$1="hide",$P79=""),0,ROUND(NL("SUM","G/L Entry","Amount","G/L Account No.",$P79,"Fund No.",$F$22,"Global Dimension 2 Code",$F$12,"Company=",$D$6,"Transaction Type",Z$4,"Posting Date",Z$3),0))</t>
  </si>
  <si>
    <t>=IF(OR(AB$1="hide",$P79=""),0,ROUND(NL("SUM","G/L Entry","Amount","G/L Account No.",$P79,"Fund No.",$F$22,"Global Dimension 2 Code",$F$12,"Company=",$D$6,"Transaction Type",AB$4,"Posting Date",AB$3),0))</t>
  </si>
  <si>
    <t>=IF(OR(AD$1="hide",$P79=""),0,ROUND(NL("SUM","G/L Entry","Amount","G/L Account No.",$P79,"Fund No.",$F$22,"Global Dimension 2 Code",$F$12,"Company=",$D$6,"Transaction Type",AD$4,"Posting Date",AD$3),0))</t>
  </si>
  <si>
    <t>=IF(OR(AF$1="hide",$P79=""),0,ROUND(NL("SUM","G/L Entry","Amount","G/L Account No.",$P79,"Fund No.",$F$22,"Global Dimension 2 Code",$F$12,"Company=",$D$6,"Transaction Type",AF$4,"Posting Date",AF$3),0))</t>
  </si>
  <si>
    <t>=IF(OR(AH$1="hide",$P79=""),0,SUM(ROUND(NL("SUM","G/L Entry","Amount","G/L Account No.",$P79,"Fund No.",$F$22,"Global Dimension 2 Code",$F$12,"Company=",$D$6,"Transaction Type",AH$4,"Posting Date",AH$3),0),IF($P79="565001",-$AH$77,IF($P79="565002",-$AH$77,IF($P79="565003",-$AH$77,IF($P79="565004",-$AH$77,0))))))</t>
  </si>
  <si>
    <t>=IF(ISERROR(AH79+AJ79),0,(AH79+AJ79))</t>
  </si>
  <si>
    <t>=IF($F$13="yes",0,IF($P79="",0,ROUND(NL("SUM","G/L Budget Entry","Amount","Fund No.",$F$22,"G/L Account No.",$P79,"Company=",$D$6,"Global Dimension 2 Code",$F$12,"Date",$AN$3),0)))</t>
  </si>
  <si>
    <t>=IF($F$13="YES",AF79,AN79)</t>
  </si>
  <si>
    <t>=ABS(SUMIF(V79:AP79,"&gt;0")-SUMIF(V79:AP79,"&lt;0"))</t>
  </si>
  <si>
    <t>=SUM(T79:T80)</t>
  </si>
  <si>
    <t>=SUM(V79:V80)</t>
  </si>
  <si>
    <t>=SUM(X79:X80)</t>
  </si>
  <si>
    <t>=SUM(Z79:Z80)</t>
  </si>
  <si>
    <t>=SUM(AB79:AB80)</t>
  </si>
  <si>
    <t>=SUM(AD79:AD80)</t>
  </si>
  <si>
    <t>=SUM(AF79:AF80)</t>
  </si>
  <si>
    <t>=SUM(AH79:AH80)</t>
  </si>
  <si>
    <t>=SUM(AJ79:AJ80)</t>
  </si>
  <si>
    <t>=SUM(AL79:AL80)</t>
  </si>
  <si>
    <t>=SUM(AN79:AN80)</t>
  </si>
  <si>
    <t>=SUM(AP79:AP80)</t>
  </si>
  <si>
    <t>=ABS(SUMIF(V81:AP81,"&gt;0")-SUMIF(V81:AP81,"&lt;0"))</t>
  </si>
  <si>
    <t>=B81</t>
  </si>
  <si>
    <t>=IF($F$22=0,0,IF(OR($F$14="No",VALUE($F$22)&lt;=399,VALUE($F$22)&gt;499),"500000..564999|566000..579999","500000..552016|552028..552039|552046..564999|566000..579999"))</t>
  </si>
  <si>
    <t>=IF(AQ86=0,"Hide","Show")</t>
  </si>
  <si>
    <t>=IF(AQ84=0,"Hide","Show")</t>
  </si>
  <si>
    <t>=NL("Rows", NL("Union", NL("allunique","G/L Entry",$E$20,$E$20,$E$82,"Fund No.",$F$22,$E$21,$H$82,"Company=",$D$6,"Posting Date",$J$5),NL("allunique","G/L Budget Entry",$E$20,$E$20,$E$82,"Fund Code",$F$22,$E$21,$H$82,"Company=",$D$6,"Date",$J$6)))</t>
  </si>
  <si>
    <t>=IF(K84="","500000 51799",K84&amp;" "&amp;"51799")</t>
  </si>
  <si>
    <t>=K84</t>
  </si>
  <si>
    <t>=IF($P84="","",NL("Rows","G/L Account","Name","No.",$P84,"Company=",$D$6))</t>
  </si>
  <si>
    <t>=IF($P84="",0,ROUND(NL("SUM","G/L Entry","Amount","G/L Account No.",$P84,"Fund No.",$F$22,"Global Dimension 2 Code",$F$12,"Global Dimension 1 Code",$H$82,"Company=",$D$6,"Transaction Type",T$4,"Posting Date",T$3),0))</t>
  </si>
  <si>
    <t>=IF(OR(V$1="hide",$P84=""),0,ROUND(NL("SUM","G/L Entry","Amount","G/L Account No.",$P84,"Fund No.",$F$22,"Global Dimension 2 Code",$F$12,"Global Dimension 1 Code",$H$82,"Company=",$D$6,"Transaction Type",V$4,"Posting Date",V$3),0))</t>
  </si>
  <si>
    <t>=IF(OR(X$1="hide",$P84=""),0,ROUND(NL("SUM","G/L Entry","Amount","G/L Account No.",$P84,"Fund No.",$F$22,"Global Dimension 2 Code",$F$12,"Global Dimension 1 Code",$H$82,"Company=",$D$6,"Transaction Type",X$4,"Posting Date",X$3),0))</t>
  </si>
  <si>
    <t>=IF(OR(Z$1="hide",$P84=""),0,ROUND(NL("SUM","G/L Entry","Amount","G/L Account No.",$P84,"Fund No.",$F$22,"Global Dimension 2 Code",$F$12,"Global Dimension 1 Code",$H$82,"Company=",$D$6,"Transaction Type",Z$4,"Posting Date",Z$3),0))</t>
  </si>
  <si>
    <t>=IF(OR(AB$1="hide",$P84=""),0,ROUND(NL("SUM","G/L Entry","Amount","G/L Account No.",$P84,"Fund No.",$F$22,"Global Dimension 2 Code",$F$12,"Global Dimension 1 Code",$H$82,"Company=",$D$6,"Transaction Type",AB$4,"Posting Date",AB$3),0))</t>
  </si>
  <si>
    <t>=IF(OR(AD$1="hide",$P84=""),0,ROUND(NL("SUM","G/L Entry","Amount","G/L Account No.",$P84,"Fund No.",$F$22,"Global Dimension 2 Code",$F$12,"Global Dimension 1 Code",$H$82,"Company=",$D$6,"Transaction Type",AD$4,"Posting Date",AD$3),0))</t>
  </si>
  <si>
    <t>=IF(OR(AF$1="hide",$P84=""),0,ROUND(NL("SUM","G/L Entry","Amount","G/L Account No.",$P84,"Fund No.",$F$22,"Global Dimension 2 Code",$F$12,"Global Dimension 1 Code",$H$82,"Company=",$D$6,"Transaction Type",AF$4,"Posting Date",AF$3),0))</t>
  </si>
  <si>
    <t>=IF(OR(AH$1="hide",$P84=""),0,ROUND(NL("SUM","G/L Entry","Amount","G/L Account No.",$P84,"Fund No.",$F$22,"Global Dimension 2 Code",$F$12,"Global Dimension 1 Code",$H$82,"Company=",$D$6,"Transaction Type",AH$4,"Posting Date",AH$3),0))</t>
  </si>
  <si>
    <t>=IF(ISERROR(AH84+AJ84),0,(AH84+AJ84))</t>
  </si>
  <si>
    <t>=IF($F$13="yes",0,IF($P84="",0,ROUND(NL("SUM","G/L Budget Entry","Amount","Fund No.",$F$22,"G/L Account No.",$P84,"Company=",$D$6,"Global Dimension 1 Code",$H$82,"Global Dimension 2 Code",$F$12,"Date",$AN$3),0)))</t>
  </si>
  <si>
    <t>=IF($F$13="YES",AF84,AN84)</t>
  </si>
  <si>
    <t>=ABS(SUMIF(V84:AP84,"&gt;0")-SUMIF(V84:AP84,"&lt;0"))</t>
  </si>
  <si>
    <t>=SUM(T84:T85)</t>
  </si>
  <si>
    <t>=SUM(V84:V85)</t>
  </si>
  <si>
    <t>=SUM(X84:X85)</t>
  </si>
  <si>
    <t>=SUM(Z84:Z85)</t>
  </si>
  <si>
    <t>=SUM(AB84:AB85)</t>
  </si>
  <si>
    <t>=SUM(AD84:AD85)</t>
  </si>
  <si>
    <t>=SUM(AF84:AF85)</t>
  </si>
  <si>
    <t>=SUM(AH84:AH85)</t>
  </si>
  <si>
    <t>=SUM(AJ84:AJ85)</t>
  </si>
  <si>
    <t>=SUM(AL84:AL85)</t>
  </si>
  <si>
    <t>=SUM(AN84:AN85)</t>
  </si>
  <si>
    <t>=SUM(AP84:AP85)</t>
  </si>
  <si>
    <t>=ABS(SUMIF(V86:AP86,"&gt;0")-SUMIF(V86:AP86,"&lt;0"))</t>
  </si>
  <si>
    <t>=B86</t>
  </si>
  <si>
    <t>=IF(AQ88=0,"Hide","Show")</t>
  </si>
  <si>
    <t>=IF(AND($F$22&gt;"399",$F$22&lt;"500"),"TOTAL OPERATING EXPENSES","TOTAL EXPENDITURES")</t>
  </si>
  <si>
    <t>=IF($F$6="no",0,SUM(T86+T81+T76+T65))</t>
  </si>
  <si>
    <t>=IF($F$6="no",0,SUM(V86+V81+V76+V65))</t>
  </si>
  <si>
    <t>=IF($F$6="no",0,SUM(X86+X81+X76+X65))</t>
  </si>
  <si>
    <t>=IF($F$6="no",0,SUM(Z86+Z81+Z76+Z65))</t>
  </si>
  <si>
    <t>=IF($F$6="no",0,SUM(AB86+AB81+AB76+AB65))</t>
  </si>
  <si>
    <t>=IF($F$6="no",0,SUM(AD86+AD81+AD76+AD65))</t>
  </si>
  <si>
    <t>=IF($F$6="no",0,SUM(AF86+AF81+AF76+AF65))</t>
  </si>
  <si>
    <t>=IF($F$6="no",0,SUM(AH86+AH81+AH76+AH65))</t>
  </si>
  <si>
    <t>=IF($F$6="no",0,SUM(AJ86+AJ81+AJ76+AJ65))</t>
  </si>
  <si>
    <t>=IF($F$6="no",0,SUM(AL86+AL81+AL76+AL65))</t>
  </si>
  <si>
    <t>=IF($F$6="no",0,SUM(AN86+AN81+AN76+AN65))</t>
  </si>
  <si>
    <t>=IF($F$6="no",0,SUM(AP86+AP81+AP76+AP65))</t>
  </si>
  <si>
    <t>=ABS(SUMIF(V88:AP88,"&gt;0")-SUMIF(V88:AP88,"&lt;0"))</t>
  </si>
  <si>
    <t>=B88</t>
  </si>
  <si>
    <t>58100</t>
  </si>
  <si>
    <t>=IF(AQ93=0,"Hide","Show")</t>
  </si>
  <si>
    <t>=IF(AQ91=0,"Hide","Show")</t>
  </si>
  <si>
    <t>=NL("Rows", NL("Union", NL("allunique","G/L Entry",$E$20,$E$20,$E$89,"Fund No.",$F$22,$E$21,$H$89,"Company=",$D$6,"Posting Date",$J$5),NL("allunique","G/L Budget Entry",$E$20,$E$20,$E$89,"Fund Code",$F$22,$E$21,$H$89,"Company=",$D$6,"Date",$J$6)))</t>
  </si>
  <si>
    <t>=IF(K91="","500000 58100",K91&amp;" "&amp;"58100")</t>
  </si>
  <si>
    <t>=K91</t>
  </si>
  <si>
    <t>=IF($P91="","",NL("Rows","G/L Account","Name","No.",$P91,"Company=",$D$6))</t>
  </si>
  <si>
    <t>=IF($P91="",0,ROUND(NL("SUM","G/L Entry","Amount","G/L Account No.",$P91,"Fund No.",$F$22,"Global Dimension 2 Code",$F$12,"Global Dimension 1 Code",$H$89,"Company=",$D$6,"Transaction Type",T$4,"Posting Date",T$3),0))</t>
  </si>
  <si>
    <t>=IF(OR(V$1="hide",$P91=""),0,ROUND(NL("SUM","G/L Entry","Amount","G/L Account No.",$P91,"Fund No.",$F$22,"Global Dimension 2 Code",$F$12,"Global Dimension 1 Code",$H$89,"Company=",$D$6,"Transaction Type",V$4,"Posting Date",V$3),0))</t>
  </si>
  <si>
    <t>=IF(OR(X$1="hide",$P91=""),0,ROUND(NL("SUM","G/L Entry","Amount","G/L Account No.",$P91,"Fund No.",$F$22,"Global Dimension 2 Code",$F$12,"Global Dimension 1 Code",$H$89,"Company=",$D$6,"Transaction Type",X$4,"Posting Date",X$3),0))</t>
  </si>
  <si>
    <t>=IF(OR(Z$1="hide",$P91=""),0,ROUND(NL("SUM","G/L Entry","Amount","G/L Account No.",$P91,"Fund No.",$F$22,"Global Dimension 2 Code",$F$12,"Global Dimension 1 Code",$H$89,"Company=",$D$6,"Transaction Type",Z$4,"Posting Date",Z$3),0))</t>
  </si>
  <si>
    <t>=IF(OR(AB$1="hide",$P91=""),0,ROUND(NL("SUM","G/L Entry","Amount","G/L Account No.",$P91,"Fund No.",$F$22,"Global Dimension 2 Code",$F$12,"Global Dimension 1 Code",$H$89,"Company=",$D$6,"Transaction Type",AB$4,"Posting Date",AB$3),0))</t>
  </si>
  <si>
    <t>=IF(OR(AD$1="hide",$P91=""),0,ROUND(NL("SUM","G/L Entry","Amount","G/L Account No.",$P91,"Fund No.",$F$22,"Global Dimension 2 Code",$F$12,"Global Dimension 1 Code",$H$89,"Company=",$D$6,"Transaction Type",AD$4,"Posting Date",AD$3),0))</t>
  </si>
  <si>
    <t>=IF(OR(AF$1="hide",$P91=""),0,ROUND(NL("SUM","G/L Entry","Amount","G/L Account No.",$P91,"Fund No.",$F$22,"Global Dimension 2 Code",$F$12,"Global Dimension 1 Code",$H$89,"Company=",$D$6,"Transaction Type",AF$4,"Posting Date",AF$3),0))</t>
  </si>
  <si>
    <t>=IF(OR(AH$1="hide",$P91=""),0,ROUND(NL("SUM","G/L Entry","Amount","G/L Account No.",$P91,"Fund No.",$F$22,"Global Dimension 2 Code",$F$12,"Global Dimension 1 Code",$H$89,"Company=",$D$6,"Transaction Type",AH$4,"Posting Date",AH$3),0))</t>
  </si>
  <si>
    <t>=IF(ISERROR(AH91+AJ91),0,(AH91+AJ91))</t>
  </si>
  <si>
    <t>=IF($F$13="yes",0,IF($P91="",0,ROUND(NL("SUM","G/L Budget Entry","Amount","Fund No.",$F$22,"G/L Account No.",$P91,"Company=",$D$6,"Global Dimension 1 Code",$H$89,"Global Dimension 2 Code",$F$12,"Date",$AN$3),0)))</t>
  </si>
  <si>
    <t>=IF($F$13="YES",AF91,AN91)</t>
  </si>
  <si>
    <t>=ABS(SUMIF(V91:AP91,"&gt;0")-SUMIF(V91:AP91,"&lt;0"))</t>
  </si>
  <si>
    <t>=SUM(T91:T92)</t>
  </si>
  <si>
    <t>=SUM(V91:V92)</t>
  </si>
  <si>
    <t>=SUM(X91:X92)</t>
  </si>
  <si>
    <t>=SUM(Z91:Z92)</t>
  </si>
  <si>
    <t>=SUM(AB91:AB92)</t>
  </si>
  <si>
    <t>=SUM(AD91:AD92)</t>
  </si>
  <si>
    <t>=SUM(AF91:AF92)</t>
  </si>
  <si>
    <t>=SUM(AH91:AH92)</t>
  </si>
  <si>
    <t>=SUM(AJ91:AJ92)</t>
  </si>
  <si>
    <t>=SUM(AL91:AL92)</t>
  </si>
  <si>
    <t>=SUM(AN91:AN92)</t>
  </si>
  <si>
    <t>=SUM(AP91:AP92)</t>
  </si>
  <si>
    <t>=ABS(SUMIF(V93:AP93,"&gt;0")-SUMIF(V93:AP93,"&lt;0"))</t>
  </si>
  <si>
    <t>=B93</t>
  </si>
  <si>
    <t>=IF(AQ93=0,""," &amp; RESERVES")</t>
  </si>
  <si>
    <t>=TRIM(IF(AND($F$22&gt;"399",$F$22&lt;"500"),"TOTAL OPERATING EXPENSES"&amp;N95,"TOTAL EXPENDITURES"&amp;N95))</t>
  </si>
  <si>
    <t>=SUM(T86+T81+T76+T65+T93)</t>
  </si>
  <si>
    <t>=SUM(V86+V81+V76+V65+V93)</t>
  </si>
  <si>
    <t>=SUM(X86+X81+X76+X65+X93)</t>
  </si>
  <si>
    <t>=SUM(Z86+Z81+Z76+Z65+Z93)</t>
  </si>
  <si>
    <t>=SUM(AB86+AB81+AB76+AB65+AB93)</t>
  </si>
  <si>
    <t>=SUM(AD86+AD81+AD76+AD65+AD93)</t>
  </si>
  <si>
    <t>=SUM(AF86+AF81+AF76+AF65+AF93)</t>
  </si>
  <si>
    <t>=SUM(AH86+AH81+AH76+AH65+AH93)</t>
  </si>
  <si>
    <t>=SUM(AJ86+AJ81+AJ76+AJ65+AJ93)</t>
  </si>
  <si>
    <t>=SUM(AL86+AL81+AL76+AL65+AL93)</t>
  </si>
  <si>
    <t>=SUM(AN86+AN81+AN76+AN65+AN93)</t>
  </si>
  <si>
    <t>=SUM(AP86+AP81+AP76+AP65+AP93)</t>
  </si>
  <si>
    <t>=ABS(SUMIF(V95:AP95,"&gt;0")-SUMIF(V95:AP95,"&lt;0"))</t>
  </si>
  <si>
    <t>=IF(R97="","Hide","Show")</t>
  </si>
  <si>
    <t>=IF(AND($F$22&gt;"399",$F$22&lt;"500"),"","Excess (deficiency) of revenues")</t>
  </si>
  <si>
    <t>=IF(AND($F$22&gt;"399",$F$22&lt;"500"),"Operating income (loss)","Over (under) expenditures")</t>
  </si>
  <si>
    <t>=SUM(T49-T95-T55)</t>
  </si>
  <si>
    <t>=SUM(V49-V95-V55)</t>
  </si>
  <si>
    <t>=SUM(X49-X95-X55)</t>
  </si>
  <si>
    <t>=SUM(Z49-Z95-Z55)</t>
  </si>
  <si>
    <t>=SUM(AB49-AB95-AB55)</t>
  </si>
  <si>
    <t>=SUM(AD49-AD95-AD55)</t>
  </si>
  <si>
    <t>=SUM(AF49-AF95-AF55)</t>
  </si>
  <si>
    <t>=SUM(AH49-AH95-AH55)</t>
  </si>
  <si>
    <t>=SUM(AJ49-AJ95-AJ55)</t>
  </si>
  <si>
    <t>=SUM(AL49-AL95-AL55)</t>
  </si>
  <si>
    <t>=SUM(AN49-AN95-AN55)</t>
  </si>
  <si>
    <t>=SUM(AP49-AP95-AP55)</t>
  </si>
  <si>
    <t>=ABS(SUMIF(V98:AP98,"&gt;0")-SUMIF(V98:AP98,"&lt;0"))</t>
  </si>
  <si>
    <t>=IF(AND(VALUE($F$22)&gt;399,VALUE($F$22)&lt;500),0,IF(OR($F$11="NO",T$1="HIDE",T$4="ACTUAL"),0,T98+T106))</t>
  </si>
  <si>
    <t>=IF(AND(VALUE($F$22)&gt;399,VALUE($F$22)&lt;500),0,IF(OR($F$11="NO",V$1="HIDE",V$4="ACTUAL"),0,V98+V106))</t>
  </si>
  <si>
    <t>=IF(AND(VALUE($F$22)&gt;399,VALUE($F$22)&lt;500),0,IF(OR($F$11="NO",X$1="HIDE",X$4="ACTUAL"),0,X98+X106))</t>
  </si>
  <si>
    <t>=IF(AND(VALUE($F$22)&gt;399,VALUE($F$22)&lt;500),0,IF(OR($F$11="NO",Z$1="HIDE",Z$4="ACTUAL"),0,Z98+Z106))</t>
  </si>
  <si>
    <t>=IF(AND(VALUE($F$22)&gt;399,VALUE($F$22)&lt;500),0,IF(OR($F$11="NO",AB$1="HIDE",AB$4="ACTUAL"),0,AB98+AB106))</t>
  </si>
  <si>
    <t>=IF(AND(VALUE($F$22)&gt;399,VALUE($F$22)&lt;500),0,IF(OR($F$11="NO",AD$1="HIDE",AD$4="ACTUAL"),0,AD98+AD106))</t>
  </si>
  <si>
    <t>=IF(AND(VALUE($F$22)&gt;399,VALUE($F$22)&lt;500),0,IF(OR($F$11="NO",AF$1="HIDE",AF$4="ACTUAL"),0,AF98+AF106))</t>
  </si>
  <si>
    <t>=IF(AND(VALUE($F$22)&gt;399,VALUE($F$22)&lt;500),0,IF(OR($F$11="NO",AH$1="HIDE",AH$4="ACTUAL"),0,AH98+AH106))</t>
  </si>
  <si>
    <t>=IF(AND(VALUE($F$22)&gt;399,VALUE($F$22)&lt;500),0,IF(OR($F$11="NO",AN$1="HIDE",AN$4="ACTUAL"),0,AN98+AN106))</t>
  </si>
  <si>
    <t>=IF(AND(VALUE($F$22)&gt;399,VALUE($F$22)&lt;500),0,IF(OR($F$11="NO",AP$1="HIDE",AP$4="ACTUAL"),0,AP98+AP106))</t>
  </si>
  <si>
    <t>=IF(OR($F$11="Yes",$AQ107&lt;&gt;0),"Show",IF($AQ107=0,"Hide","Show"))</t>
  </si>
  <si>
    <t>=B102</t>
  </si>
  <si>
    <t>=IF(AQ104=0,"Hide","Show")</t>
  </si>
  <si>
    <t>=NL("Rows", NL("Union", NL("allunique","G/L Entry",$E$20,$E$20,$E102,"Fund No.",$F$22,"Company=",$D$6,"Posting Date",$J$5),NL("allunique","G/L Budget Entry",$E$20,$E$20,$E102,"Fund Code",$F$22,"Company=",$D$6,"Date",$J$6)))</t>
  </si>
  <si>
    <t>=IF(K104="","399998",K104)</t>
  </si>
  <si>
    <t>=K104</t>
  </si>
  <si>
    <t>=IF($P104="","",NL("Rows","G/L Account","Name","No.",$P104,"Company=",$D$6))</t>
  </si>
  <si>
    <t>=IF($P104="",0,-ROUND(NL("SUM","G/L Entry","Amount","G/L Account No.",$P104,"Fund No.",$F$22,"Global Dimension 2 Code",$F$12,"Company=",$D$6,"Transaction Type",T$4,"Posting Date",T$3),0))</t>
  </si>
  <si>
    <t>=IF(OR(V$1="hide",$P104=""),0,-ROUND(NL("SUM","G/L Entry","Amount","G/L Account No.",$P104,"Fund No.",$F$22,"Global Dimension 2 Code",$F$12,"Company=",$D$6,"Transaction Type",V$4,"Posting Date",V$3),0))</t>
  </si>
  <si>
    <t>=IF(OR(X$1="hide",$P104=""),0,-ROUND(NL("SUM","G/L Entry","Amount","G/L Account No.",$P104,"Fund No.",$F$22,"Global Dimension 2 Code",$F$12,"Company=",$D$6,"Transaction Type",X$4,"Posting Date",X$3),0))</t>
  </si>
  <si>
    <t>=IF(OR(Z$1="hide",$P104=""),0,-ROUND(NL("SUM","G/L Entry","Amount","G/L Account No.",$P104,"Fund No.",$F$22,"Global Dimension 2 Code",$F$12,"Company=",$D$6,"Transaction Type",Z$4,"Posting Date",Z$3),0))</t>
  </si>
  <si>
    <t>=IF(OR(AB$1="hide",$P104=""),0,-ROUND(NL("SUM","G/L Entry","Amount","G/L Account No.",$P104,"Fund No.",$F$22,"Global Dimension 2 Code",$F$12,"Company=",$D$6,"Transaction Type",AB$4,"Posting Date",AB$3),0))</t>
  </si>
  <si>
    <t>=IF(OR(AD$1="hide",$P104=""),0,-ROUND(NL("SUM","G/L Entry","Amount","G/L Account No.",$P104,"Fund No.",$F$22,"Global Dimension 2 Code",$F$12,"Company=",$D$6,"Transaction Type",AD$4,"Posting Date",AD$3),0))</t>
  </si>
  <si>
    <t>=IF(OR(AF$1="hide",$P104=""),0,-ROUND(NL("SUM","G/L Entry","Amount","G/L Account No.",$P104,"Fund No.",$F$22,"Global Dimension 2 Code",$F$12,"Company=",$D$6,"Transaction Type",AF$4,"Posting Date",AF$3),0))</t>
  </si>
  <si>
    <t>=IF(OR(AH$1="hide",$P104=""),0,-ROUND(NL("SUM","G/L Entry","Amount","G/L Account No.",$P104,"Fund No.",$F$22,"Global Dimension 2 Code",$F$12,"Company=",$D$6,"Transaction Type",AH$4,"Posting Date",AH$3),0))</t>
  </si>
  <si>
    <t>=IF(ISERROR(AH104+AJ104),0,(AH104+AJ104))</t>
  </si>
  <si>
    <t>=IF($F$13="yes",0,IF($P104="",0,-ROUND(NL("SUM","G/L Budget Entry","Amount","Fund No.",$F$22,"G/L Account No.",$P104,"Company=",$D$6,"Global Dimension 2 Code",$F$12,"Date",$AN$3),0)))</t>
  </si>
  <si>
    <t>=IF($F$13="YES",AF104,AN104)</t>
  </si>
  <si>
    <t>=ABS(SUMIF(V104:AP104,"&gt;0")-SUMIF(V104:AP104,"&lt;0"))</t>
  </si>
  <si>
    <t>=SUM(T103:T105)</t>
  </si>
  <si>
    <t>=SUM(V103:V105)</t>
  </si>
  <si>
    <t>=SUM(X103:X105)</t>
  </si>
  <si>
    <t>=SUM(Z103:Z105)</t>
  </si>
  <si>
    <t>=SUM(AB103:AB105)</t>
  </si>
  <si>
    <t>=SUM(AD103:AD105)</t>
  </si>
  <si>
    <t>=SUM(AF103:AF105)</t>
  </si>
  <si>
    <t>=SUM(AH103:AH105)</t>
  </si>
  <si>
    <t>=SUM(AJ103:AJ105)</t>
  </si>
  <si>
    <t>=SUM(AL103:AL105)</t>
  </si>
  <si>
    <t>=SUM(AN103:AN105)</t>
  </si>
  <si>
    <t>=SUM(AP103:AP105)</t>
  </si>
  <si>
    <t>=ABS(SUMIF(V106:AP106,"&gt;0")-SUMIF(V106:AP106,"&lt;0"))</t>
  </si>
  <si>
    <t>590550</t>
  </si>
  <si>
    <t>=K107</t>
  </si>
  <si>
    <t>599999</t>
  </si>
  <si>
    <t>=IF(OR(T$4="ACTUAL",T$1="hide"),0,T$101)</t>
  </si>
  <si>
    <t>=IF(OR(V$4="ACTUAL",V$1="hide"),0,V$101)</t>
  </si>
  <si>
    <t>=IF(OR(X$4="ACTUAL",X$1="hide"),0,X$101)</t>
  </si>
  <si>
    <t>=IF(OR(Z$4="ACTUAL",Z$1="hide"),0,Z$101)</t>
  </si>
  <si>
    <t>=IF(OR(AB$4="ACTUAL",AB$1="hide"),0,AB$101)</t>
  </si>
  <si>
    <t>=IF(OR(AD$4="ACTUAL",AD$1="hide"),0,AD$101)</t>
  </si>
  <si>
    <t>=IF(OR(AF$4="ACTUAL",AF$1="hide"),0,AF$101)</t>
  </si>
  <si>
    <t>=IF(OR(AH$4="ACTUAL",AH$1="hide"),0,AH$101)</t>
  </si>
  <si>
    <t>=IF(OR(AJ$4="ACTUAL",AJ$1="hide"),0,AJ$101)</t>
  </si>
  <si>
    <t>=IF(ISERROR(AH107+AJ107),0,(AH107+AJ107))</t>
  </si>
  <si>
    <t>=IF(OR(AN$4="ACTUAL",AN$1="hide"),0,AN$101)</t>
  </si>
  <si>
    <t>=IF(OR(AP$4="ACTUAL",AP$1="hide"),0,AP$101)</t>
  </si>
  <si>
    <t>=ABS(SUMIF(V107:AP107,"&gt;0")-SUMIF(V107:AP107,"&lt;0"))</t>
  </si>
  <si>
    <t>=B109</t>
  </si>
  <si>
    <t>=IF(OR($F$11="Yes",$AQ109&lt;&gt;0),"Show",IF($AQ109=0,"Hide","Show"))</t>
  </si>
  <si>
    <t>=SUM(T106:T107)</t>
  </si>
  <si>
    <t>=SUM(V106:V107)</t>
  </si>
  <si>
    <t>=SUM(X106:X107)</t>
  </si>
  <si>
    <t>=SUM(Z106:Z107)</t>
  </si>
  <si>
    <t>=SUM(AB106:AB107)</t>
  </si>
  <si>
    <t>=SUM(AD106:AD107)</t>
  </si>
  <si>
    <t>=SUM(AF106:AF107)</t>
  </si>
  <si>
    <t>=SUM(AH106:AH107)</t>
  </si>
  <si>
    <t>=SUM(AJ106:AJ107)</t>
  </si>
  <si>
    <t>=SUM(AL106:AL107)</t>
  </si>
  <si>
    <t>=SUM(AN106:AN107)</t>
  </si>
  <si>
    <t>=SUM(AP106:AP107)</t>
  </si>
  <si>
    <t>=ABS(SUMIF(V109:AP109,"&gt;0")-SUMIF(V109:AP109,"&lt;0"))</t>
  </si>
  <si>
    <t>=IF(AND($F$22&gt;"399",$F$22&lt;"500"),"Change in net assets","Net change in fund balance")</t>
  </si>
  <si>
    <t>=IF(T$4="ACTUAL",SUM(T109+T98),SUM(T109+T98+(IF(ABS(T101)&lt;0.49,0,-T101))))</t>
  </si>
  <si>
    <t>=IF(V$4="ACTUAL",SUM(V109+V98),SUM(V109+V98+(IF(ABS(V101)&lt;0.49,0,-V101))))</t>
  </si>
  <si>
    <t>=IF(X$4="ACTUAL",SUM(X109+X98),SUM(X109+X98+(IF(ABS(X101)&lt;0.49,0,-X101))))</t>
  </si>
  <si>
    <t>=IF(Z$4="ACTUAL",SUM(Z109+Z98),SUM(Z109+Z98+(IF(ABS(Z101)&lt;0.49,0,-Z101))))</t>
  </si>
  <si>
    <t>=IF(AB$4="ACTUAL",SUM(AB109+AB98),SUM(AB109+AB98+(IF(ABS(AB101)&lt;0.49,0,-AB101))))</t>
  </si>
  <si>
    <t>=IF(AD$4="ACTUAL",SUM(AD109+AD98),SUM(AD109+AD98+(IF(ABS(AD101)&lt;0.49,0,-AD101))))</t>
  </si>
  <si>
    <t>=IF(AF$4="ACTUAL",SUM(AF109+AF98),SUM(AF109+AF98+(IF(ABS(AF101)&lt;0.49,0,-AF101))))</t>
  </si>
  <si>
    <t>=IF(AH$4="ACTUAL",SUM(AH109+AH98),SUM(AH109+AH98+(IF(ABS(AH101)&lt;0.49,0,-AH101))))</t>
  </si>
  <si>
    <t>=IF(AJ$4="ACTUAL",SUM(AJ109+AJ98),SUM(AJ109+AJ98+(IF(ABS(AJ101)&lt;0.49,0,-AJ101))))</t>
  </si>
  <si>
    <t>=IF(AL$4="ACTUAL",SUM(AL109+AL98),SUM(AL109+AL98+(IF(ABS(AL101)&lt;0.49,0,-AL101))))</t>
  </si>
  <si>
    <t>=IF(AN$4="ACTUAL",SUM(AN109+AN98),SUM(AN109+AN98+(IF(ABS(AN101)&lt;0.49,0,-AN101))))</t>
  </si>
  <si>
    <t>=IF(AP$4="ACTUAL",SUM(AP109+AP98),SUM(AP109+AP98+(IF(ABS(AP101)&lt;0.49,0,-AP101))))</t>
  </si>
  <si>
    <t>=ABS(SUMIF(V111:AP111,"&gt;0")-SUMIF(V111:AP111,"&lt;0"))</t>
  </si>
  <si>
    <t>391000</t>
  </si>
  <si>
    <t>=IF($O113="",0,ROUND(-NL("SUM","G/L Entry","Amount","G/L Account No.",$O113,"Fund No.",$F$22,"Company=",$D$6,"Global Dimension 2 Code",$F$12,"Transaction Type","Actual","Posting Date",T$3),0))</t>
  </si>
  <si>
    <t>=IF($O113="",0,IF(V$1="SHOW",ROUND(-NL("SUM","G/L Entry","Amount","G/L Account No.",$O113,"Fund No.",$F$22,"Company=",$D$6,"Global Dimension 2 Code",$F$12,"Transaction Type","Actual","Posting Date",V$3),0),0))</t>
  </si>
  <si>
    <t>=IF($O113="",0,IF(X$1="SHOW",ROUND(-NL("SUM","G/L Entry","Amount","G/L Account No.",$O113,"Fund No.",$F$22,"Company=",$D$6,"Global Dimension 2 Code",$F$12,"Transaction Type","Actual","Posting Date",X$3),0),0))</t>
  </si>
  <si>
    <t>=IF($O113="",0,IF(Z$1="SHOW",ROUND(-NL("SUM","G/L Entry","Amount","G/L Account No.",$O113,"Fund No.",$F$22,"Company=",$D$6,"Global Dimension 2 Code",$F$12,"Transaction Type","Actual","Posting Date",Z$3),0),0))</t>
  </si>
  <si>
    <t>=IF($O113="",0,IF(AB$1="SHOW",ROUND(-NL("SUM","G/L Entry","Amount","G/L Account No.",$O113,"Fund No.",$F$22,"Company=",$D$6,"Global Dimension 2 Code",$F$12,"Transaction Type","Actual","Posting Date",AB$3),0),0))</t>
  </si>
  <si>
    <t>=IF($O113="",0,IF(AD$1="SHOW",ROUND(-NL("SUM","G/L Entry","Amount","G/L Account No.",$O113,"Fund No.",$F$22,"Company=",$D$6,"Global Dimension 2 Code",$F$12,"Transaction Type","Actual","Posting Date",AD$3),0),0))</t>
  </si>
  <si>
    <t>=IF($O113="",0,IF(AF$1="SHOW",ROUND(-NL("SUM","G/L Entry","Amount","G/L Account No.",$O113,"Fund No.",$F$22,"Company=",$D$6,"Global Dimension 2 Code",$F$12,"Transaction Type","Actual","Posting Date",AF$3),0),0))</t>
  </si>
  <si>
    <t>=IF($O113="",0,IF(AH$1="SHOW",ROUND(-NL("SUM","G/L Entry","Amount","G/L Account No.",$O113,"Fund No.",$F$22,"Company=",$D$6,"Global Dimension 2 Code",$F$12,"Transaction Type","Actual","Posting Date",AH$3),0),0))</t>
  </si>
  <si>
    <t>=AH113+AJ113</t>
  </si>
  <si>
    <t>=ABS(SUMIF(V113:AP113,"&gt;0")-SUMIF(V113:AP113,"&lt;0"))</t>
  </si>
  <si>
    <t>=AH114</t>
  </si>
  <si>
    <t>=$Z$147</t>
  </si>
  <si>
    <t>=ABS(SUMIF(V114:AP114,"&gt;0")-SUMIF(V114:AP114,"&lt;0"))</t>
  </si>
  <si>
    <t>=ABS(T49)+ABS(T95)+ABS(T109)</t>
  </si>
  <si>
    <t>=ABS(V49)+ABS(V95)+ABS(V109)</t>
  </si>
  <si>
    <t>=ABS(X49)+ABS(X95)+ABS(X109)</t>
  </si>
  <si>
    <t>=ABS(Z49)+ABS(Z95)+ABS(Z109)</t>
  </si>
  <si>
    <t>=ABS(AB49)+ABS(AB95)+ABS(AB109)</t>
  </si>
  <si>
    <t>=ABS(AD49)+ABS(AD95)+ABS(AD109)</t>
  </si>
  <si>
    <t>=ABS(AF49)+ABS(AF95)+ABS(AF109)</t>
  </si>
  <si>
    <t>=ABS(AH49)+ABS(AH95)+ABS(AH109)</t>
  </si>
  <si>
    <t>=AH115+AJ115</t>
  </si>
  <si>
    <t>=ABS(SUMIF(V115:AP115,"&gt;0")-SUMIF(V115:AP115,"&lt;0"))</t>
  </si>
  <si>
    <t>=IF(AND($F$22&gt;"399",$F$22&lt;"500"),"TOTAL NET ASSETS, BEGINNING","FUND BALANCE, BEGINNING")</t>
  </si>
  <si>
    <t>=IF($O116="",0,IF(AND(T$4="BUDGET",T$115=0),0,ROUND(-NL("SUM","G/L Entry","Amount","G/L Account No.",$O116,"Fund No.",$F$22,"Company=",$D$6,"Transaction Type","ACTUAL","Global Dimension 2 Code",$F$12,"Posting Date",T$5)+T113+T114,0)))</t>
  </si>
  <si>
    <t>=IF(V$1="Show",V118-V113-V111,0)</t>
  </si>
  <si>
    <t>=IF(X$1="Show",X118-X113-X111,0)</t>
  </si>
  <si>
    <t>=IF(Z$1="Show",Z118-Z113-Z111,0)</t>
  </si>
  <si>
    <t>=IF(AB$1="Show",AB118-AB113-AB111,0)</t>
  </si>
  <si>
    <t>=IF(OR($O116="",AD$1="HIDE"),0,IF(AND(AD$4="BUDGET",AD$115=0),0,ROUND(-NL("SUM","G/L Entry","Amount","G/L Account No.",$O116,"Fund No.",$F$22,"Company=",$D$6,"Transaction Type","ACTUAL","Global Dimension 2 Code",$F$12,"Posting Date",AD$5)+AD113+AD114,0)))</t>
  </si>
  <si>
    <t>=IF(OR($O116="",AF$1="HIDE"),0,IF(AND(AF$4="BUDGET",AF$115=0),0,AH116))</t>
  </si>
  <si>
    <t>=IF(OR($O116="",AH$1="HIDE"),0,IF(AND(AH$4="BUDGET",AH$115=0),0,ROUND(-NL("SUM","G/L Entry","Amount","G/L Account No.",$O116,"Fund No.",$F$22,"Company=",$D$6,"Transaction Type","ACTUAL","Global Dimension 2 Code",$F$12,"Posting Date",AH$5)+AH113+AH114,0)))</t>
  </si>
  <si>
    <t>=AH116+AJ116</t>
  </si>
  <si>
    <t>=AL118</t>
  </si>
  <si>
    <t>=ABS(SUMIF(V116:AP116,"&gt;0")-SUMIF(V116:AP116,"&lt;0"))</t>
  </si>
  <si>
    <t>=IF(AND($F$22&gt;"399",$F$22&lt;"500"),"TOTAL NET ASSETS, ENDING","FUND BALANCE, ENDING")</t>
  </si>
  <si>
    <t>=SUM(T111+T116)</t>
  </si>
  <si>
    <t>=IF(V$1="Hide",0,X116)</t>
  </si>
  <si>
    <t>=IF(X$1="Hide",0,Z116)</t>
  </si>
  <si>
    <t>=IF(Z$1="Hide",0,AB116)</t>
  </si>
  <si>
    <t>=IF(AB$1="Hide",0,AF116)</t>
  </si>
  <si>
    <t>=SUM(AD111+AD116)</t>
  </si>
  <si>
    <t>=SUM(AF111+AF116)</t>
  </si>
  <si>
    <t>=SUM(AH111+AH116)</t>
  </si>
  <si>
    <t>=SUM(AJ111+AJ116)</t>
  </si>
  <si>
    <t>=SUM(AL111+AL116)</t>
  </si>
  <si>
    <t>=SUM(AN111+AN116)</t>
  </si>
  <si>
    <t>=SUM(AP111+AP116)</t>
  </si>
  <si>
    <t>=ABS(SUMIF(V118:AP118,"&gt;0")-SUMIF(V118:AP118,"&lt;0"))</t>
  </si>
  <si>
    <t>=B120</t>
  </si>
  <si>
    <t>=B121</t>
  </si>
  <si>
    <t>=SUM(AQ34:AQ118)</t>
  </si>
  <si>
    <t>=B122</t>
  </si>
  <si>
    <t>=B123</t>
  </si>
  <si>
    <t>=IF($V31="","",$V31)</t>
  </si>
  <si>
    <t>=IF(AB31="","",AB31)</t>
  </si>
  <si>
    <t>=IF(AD31="","",AD31)</t>
  </si>
  <si>
    <t>=IF(AF31="","",AF31)</t>
  </si>
  <si>
    <t>=IF(AH31="","",AH31)</t>
  </si>
  <si>
    <t>=IF(AJ31="","",AJ31)</t>
  </si>
  <si>
    <t>=IF(AL31="","",AL31)</t>
  </si>
  <si>
    <t>=IF(AN31="","",AN31)</t>
  </si>
  <si>
    <t>=IF(AP31="","",AP31)</t>
  </si>
  <si>
    <t>=B124</t>
  </si>
  <si>
    <t>=IF(T32="","",T32)</t>
  </si>
  <si>
    <t>=IF(V32="","",V32)</t>
  </si>
  <si>
    <t>=IF(X32="","",X32)</t>
  </si>
  <si>
    <t>=IF(Z32="","",Z32)</t>
  </si>
  <si>
    <t>=IF(AB32="","",AB32)</t>
  </si>
  <si>
    <t>=IF(AD32="","",AD32)</t>
  </si>
  <si>
    <t>=IF(AF32="","",AF32)</t>
  </si>
  <si>
    <t>=IF(AH32="","",AH32)</t>
  </si>
  <si>
    <t>=IF(AJ32="","",AJ32)</t>
  </si>
  <si>
    <t>=IF(AL32="","",AL32)</t>
  </si>
  <si>
    <t>=IF(AN32="","",AN32)</t>
  </si>
  <si>
    <t>=IF(AP32="","",AP32)</t>
  </si>
  <si>
    <t>=B125</t>
  </si>
  <si>
    <t>=IF(T33="","",T33)</t>
  </si>
  <si>
    <t>=IF(V33="","",V33)</t>
  </si>
  <si>
    <t>=IF(X33="","",X33)</t>
  </si>
  <si>
    <t>=IF(Z33="","",Z33)</t>
  </si>
  <si>
    <t>=IF(AB33="","",AB33)</t>
  </si>
  <si>
    <t>=IF(AD33="","",AD33)</t>
  </si>
  <si>
    <t>=IF(AF33="","",AF33)</t>
  </si>
  <si>
    <t>=IF(AH33="","",AH33)</t>
  </si>
  <si>
    <t>=IF(AJ33="","",AJ33)</t>
  </si>
  <si>
    <t>=IF(AL33="","",AL33)</t>
  </si>
  <si>
    <t>=IF(AN33="","",AN33)</t>
  </si>
  <si>
    <t>=IF(AP33="","",AP33)</t>
  </si>
  <si>
    <t>=B126</t>
  </si>
  <si>
    <t>=B127</t>
  </si>
  <si>
    <t>=IF(T$1="HIDE",0,IF($P126="",0,-NL("SUM","G/L Entry","Amount","G/L Account No.",$P126,"Global Dimension 2 Code",$F$12,"Fund No.",$F$22,"Company=",$D$6,"Posting Date",T$3,"Transaction Type",T$4))-T49)</t>
  </si>
  <si>
    <t>=IF(V$1="HIDE",0,IF($P126="",0,-NL("SUM","G/L Entry","Amount","G/L Account No.",$P126,"Global Dimension 2 Code",$F$12,"Fund No.",$F$22,"Company=",$D$6,"Posting Date",V$3,"Transaction Type",V$4))-V49)</t>
  </si>
  <si>
    <t>=IF(X$1="HIDE",0,IF($P126="",0,-NL("SUM","G/L Entry","Amount","G/L Account No.",$P126,"Global Dimension 2 Code",$F$12,"Fund No.",$F$22,"Company=",$D$6,"Posting Date",X$3,"Transaction Type",X$4))-X49)</t>
  </si>
  <si>
    <t>=IF(Z$1="HIDE",0,IF($P126="",0,-NL("SUM","G/L Entry","Amount","G/L Account No.",$P126,"Global Dimension 2 Code",$F$12,"Fund No.",$F$22,"Company=",$D$6,"Posting Date",Z$3,"Transaction Type",Z$4))-Z49)</t>
  </si>
  <si>
    <t>=IF(AB$1="HIDE",0,IF($P126="",0,-NL("SUM","G/L Entry","Amount","G/L Account No.",$P126,"Global Dimension 2 Code",$F$12,"Fund No.",$F$22,"Company=",$D$6,"Posting Date",AB$3,"Transaction Type",AB$4))-AB49)</t>
  </si>
  <si>
    <t>=IF(AD$1="HIDE",0,IF($P126="",0,-NL("SUM","G/L Entry","Amount","G/L Account No.",$P126,"Global Dimension 2 Code",$F$12,"Fund No.",$F$22,"Company=",$D$6,"Posting Date",AD$3,"Transaction Type",AD$4))-AD49)</t>
  </si>
  <si>
    <t>=IF(AF$1="HIDE",0,IF($P126="",0,-NL("SUM","G/L Entry","Amount","G/L Account No.",$P126,"Global Dimension 2 Code",$F$12,"Fund No.",$F$22,"Company=",$D$6,"Posting Date",AF$3,"Transaction Type",AF$4))-AF49)</t>
  </si>
  <si>
    <t>=IF(AH$1="HIDE",0,IF($P126="",0,-NL("SUM","G/L Entry","Amount","G/L Account No.",$P126,"Global Dimension 2 Code",$F$12,"Fund No.",$F$22,"Company=",$D$6,"Posting Date",AH$3,"Transaction Type",AH$4))-AH49)</t>
  </si>
  <si>
    <t>=IF(T$1="HIDE",0,IF($P127="",0,NL("SUM","G/L Entry","Amount","G/L Account No.",$P127,"Global Dimension 2 Code",$F$12,"Fund No.",$F$22,"Company=",$D$6,"Posting Date",T$3,"Transaction Type",T$4))-T95-T55)</t>
  </si>
  <si>
    <t>=IF(V$1="HIDE",0,IF($P127="",0,NL("SUM","G/L Entry","Amount","G/L Account No.",$P127,"Global Dimension 2 Code",$F$12,"Fund No.",$F$22,"Company=",$D$6,"Posting Date",V$3,"Transaction Type",V$4))-V95-V55)</t>
  </si>
  <si>
    <t>=IF(X$1="HIDE",0,IF($P127="",0,NL("SUM","G/L Entry","Amount","G/L Account No.",$P127,"Global Dimension 2 Code",$F$12,"Fund No.",$F$22,"Company=",$D$6,"Posting Date",X$3,"Transaction Type",X$4))-X95-X55)</t>
  </si>
  <si>
    <t>=IF(Z$1="HIDE",0,IF($P127="",0,NL("SUM","G/L Entry","Amount","G/L Account No.",$P127,"Global Dimension 2 Code",$F$12,"Fund No.",$F$22,"Company=",$D$6,"Posting Date",Z$3,"Transaction Type",Z$4))-Z95-Z55)</t>
  </si>
  <si>
    <t>=IF(AB$1="HIDE",0,IF($P127="",0,NL("SUM","G/L Entry","Amount","G/L Account No.",$P127,"Global Dimension 2 Code",$F$12,"Fund No.",$F$22,"Company=",$D$6,"Posting Date",AB$3,"Transaction Type",AB$4))-AB95-AB55)</t>
  </si>
  <si>
    <t>=IF(AD$1="HIDE",0,IF($P127="",0,NL("SUM","G/L Entry","Amount","G/L Account No.",$P127,"Global Dimension 2 Code",$F$12,"Fund No.",$F$22,"Company=",$D$6,"Posting Date",AD$3,"Transaction Type",AD$4))-AD95-AD55)</t>
  </si>
  <si>
    <t>=IF(AF$1="HIDE",0,IF($P127="",0,NL("SUM","G/L Entry","Amount","G/L Account No.",$P127,"Global Dimension 2 Code",$F$12,"Fund No.",$F$22,"Company=",$D$6,"Posting Date",AF$3,"Transaction Type",AF$4))-AF95-AF55)</t>
  </si>
  <si>
    <t>=IF(AH$1="HIDE",0,IF($P127="",0,NL("SUM","G/L Entry","Amount","G/L Account No.",$P127,"Global Dimension 2 Code",$F$12,"Fund No.",$F$22,"Company=",$D$6,"Posting Date",AH$3,"Transaction Type",AH$4))-AH95-AH55)</t>
  </si>
  <si>
    <t>=B129</t>
  </si>
  <si>
    <t>=IF(T$1="HIDE",0,IF($P128="",0,NL("SUM","G/L Entry","Amount","G/L Account No.",$P128,"Global Dimension 2 Code",$F$12,"Fund No.",$F$22,"Company=",$D$6,"Posting Date",T$3,"Transaction Type",T$4))+T109-T107)</t>
  </si>
  <si>
    <t>=IF(V$1="HIDE",0,IF($P128="",0,NL("SUM","G/L Entry","Amount","G/L Account No.",$P128,"Global Dimension 2 Code",$F$12,"Fund No.",$F$22,"Company=",$D$6,"Posting Date",V$3,"Transaction Type",V$4))+V109-V107)</t>
  </si>
  <si>
    <t>=IF(X$1="HIDE",0,IF($P128="",0,NL("SUM","G/L Entry","Amount","G/L Account No.",$P128,"Global Dimension 2 Code",$F$12,"Fund No.",$F$22,"Company=",$D$6,"Posting Date",X$3,"Transaction Type",X$4))+X109-X107)</t>
  </si>
  <si>
    <t>=IF(Z$1="HIDE",0,IF($P128="",0,NL("SUM","G/L Entry","Amount","G/L Account No.",$P128,"Global Dimension 2 Code",$F$12,"Fund No.",$F$22,"Company=",$D$6,"Posting Date",Z$3,"Transaction Type",Z$4))+Z109-Z107)</t>
  </si>
  <si>
    <t>=IF(AB$1="HIDE",0,IF($P128="",0,NL("SUM","G/L Entry","Amount","G/L Account No.",$P128,"Global Dimension 2 Code",$F$12,"Fund No.",$F$22,"Company=",$D$6,"Posting Date",AB$3,"Transaction Type",AB$4))+AB109-AB107)</t>
  </si>
  <si>
    <t>=IF(AD$1="HIDE",0,IF($P128="",0,NL("SUM","G/L Entry","Amount","G/L Account No.",$P128,"Global Dimension 2 Code",$F$12,"Fund No.",$F$22,"Company=",$D$6,"Posting Date",AD$3,"Transaction Type",AD$4))+AD109-AD107)</t>
  </si>
  <si>
    <t>=IF(AF$1="HIDE",0,IF($P128="",0,NL("SUM","G/L Entry","Amount","G/L Account No.",$P128,"Global Dimension 2 Code",$F$12,"Fund No.",$F$22,"Company=",$D$6,"Posting Date",AF$3,"Transaction Type",AF$4))+AF109-AF107)</t>
  </si>
  <si>
    <t>=IF(AH$1="HIDE",0,IF($P128="",0,NL("SUM","G/L Entry","Amount","G/L Account No.",$P128,"Global Dimension 2 Code",$F$12,"Fund No.",$F$22,"Company=",$D$6,"Posting Date",AH$3,"Transaction Type",AH$4))+AH109-AH107)</t>
  </si>
  <si>
    <t>=B130</t>
  </si>
  <si>
    <t>=IF(T$1="SHOW",IF(OR($P129="",T$4="BUDGET"),0,-T118-ROUND(NL("SUM","G/L Entry","Amount","G/L Account No.",$P129,"Global Dimension 2 Code",$F$12,"Fund No.",$F$22,"Company=",$D$6,"Transaction Type",T$4,"Posting Date",T$2),0)),0)</t>
  </si>
  <si>
    <t>=IF(V$1="SHOW",IF(OR($P129="",V$4="BUDGET"),0,-V118-ROUND(NL("SUM","G/L Entry","Amount","G/L Account No.",$P129,"Global Dimension 2 Code",$F$12,"Fund No.",$F$22,"Company=",$D$6,"Transaction Type",V$4,"Posting Date",V$2),0)),0)</t>
  </si>
  <si>
    <t>=IF(X$1="SHOW",IF(OR($P129="",X$4="BUDGET"),0,-X118-ROUND(NL("SUM","G/L Entry","Amount","G/L Account No.",$P129,"Global Dimension 2 Code",$F$12,"Fund No.",$F$22,"Company=",$D$6,"Transaction Type",X$4,"Posting Date",X$2),0)),0)</t>
  </si>
  <si>
    <t>=IF(Z$1="SHOW",IF(OR($P129="",Z$4="BUDGET"),0,-Z118-ROUND(NL("SUM","G/L Entry","Amount","G/L Account No.",$P129,"Global Dimension 2 Code",$F$12,"Fund No.",$F$22,"Company=",$D$6,"Transaction Type",Z$4,"Posting Date",Z$2),0)),0)</t>
  </si>
  <si>
    <t>=IF(AB$1="SHOW",IF(OR($P129="",AB$4="BUDGET"),0,-AB118-ROUND(NL("SUM","G/L Entry","Amount","G/L Account No.",$P129,"Global Dimension 2 Code",$F$12,"Fund No.",$F$22,"Company=",$D$6,"Transaction Type",AB$4,"Posting Date",AB$2),0)),0)</t>
  </si>
  <si>
    <t>=IF(AD$1="SHOW",IF(OR($P129="",AD$4="BUDGET"),0,-AD118-ROUND(NL("SUM","G/L Entry","Amount","G/L Account No.",$P129,"Global Dimension 2 Code",$F$12,"Fund No.",$F$22,"Company=",$D$6,"Transaction Type",AD$4,"Posting Date",AD$2),0)),0)</t>
  </si>
  <si>
    <t>=IF(AF$1="SHOW",IF(OR($P129="",AF$4="BUDGET"),0,-AF118-ROUND(NL("SUM","G/L Entry","Amount","G/L Account No.",$P129,"Global Dimension 2 Code",$F$12,"Fund No.",$F$22,"Company=",$D$6,"Transaction Type",AF$4,"Posting Date",AF$2),0)),0)</t>
  </si>
  <si>
    <t>=IF(AH$1="SHOW",IF(OR($P129="",AH$4="BUDGET"),0,-AH118-ROUND(NL("SUM","G/L Entry","Amount","G/L Account No.",$P129,"Global Dimension 2 Code",$F$12,"Fund No.",$F$22,"Company=",$D$6,"Transaction Type",AH$4,"Posting Date",AH$2),0)),0)</t>
  </si>
  <si>
    <t>=B131</t>
  </si>
  <si>
    <t>=IF(COUNTIF(V131:AP131,"ERROR")=0,"Hide","Show")</t>
  </si>
  <si>
    <t>=COUNTIF(V131:AP131,"ERROR")</t>
  </si>
  <si>
    <t>=IF(OR(ABS(V126)&gt;10,ABS(V127)&gt;10,ABS(V128)&gt;10,ABS(V129)&gt;10),"ERROR","")</t>
  </si>
  <si>
    <t>=IF(OR(ABS(X126)&gt;10,ABS(X127)&gt;10,ABS(X128)&gt;10,ABS(X129)&gt;10),"ERROR","")</t>
  </si>
  <si>
    <t>=IF(OR(ABS(Z126)&gt;10,ABS(Z127)&gt;10,ABS(Z128)&gt;10,ABS(Z129)&gt;10),"ERROR","")</t>
  </si>
  <si>
    <t>=IF(OR(ABS(AB126)&gt;10,ABS(AB127)&gt;10,ABS(AB128)&gt;10,ABS(AB129)&gt;10),"ERROR","")</t>
  </si>
  <si>
    <t>=IF(OR(ABS(AD126)&gt;10,ABS(AD127)&gt;10,ABS(AD128)&gt;10,ABS(AD129)&gt;10),"ERROR","")</t>
  </si>
  <si>
    <t>=IF(OR(ABS(AF126)&gt;10,ABS(AF127)&gt;10,ABS(AF128)&gt;10,ABS(AF129)&gt;10),"ERROR","")</t>
  </si>
  <si>
    <t>=IF(OR(ABS(AH126)&gt;10,ABS(AH127)&gt;10,ABS(AH128)&gt;10,ABS(AH129)&gt;10),"ERROR","")</t>
  </si>
  <si>
    <t>=IF(OR(ABS(AN126)&gt;10,ABS(AN127)&gt;10,ABS(AN128)&gt;10,ABS(AN129)&gt;10),"ERROR","")</t>
  </si>
  <si>
    <t>=T118</t>
  </si>
  <si>
    <t>=IF(AD$1="HIDE",0,IF($P134="",0,-NL("SUM","G/L Entry","Amount","G/L Account No.",$P134,"Global Dimension 2 Code",$F$12,"Fund No.",$F$22,"Company=",$D$6,"Posting Date",AD$3,AD$7,AD$8,"Transaction Type",AD$4)))</t>
  </si>
  <si>
    <t>=IF(AF$1="HIDE",0,IF($P134="",0,-NL("SUM","G/L Entry","Amount","G/L Account No.",$P134,"Global Dimension 2 Code",$F$12,"Fund No.",$F$22,"Company=",$D$6,"Posting Date",AF$3,AF$7,AF$8,"Transaction Type",AF$4)))</t>
  </si>
  <si>
    <t>=IF(ISERROR(HLOOKUP(F22,Balance_Sheet!N10:Q11,2)),0,HLOOKUP(F22,Balance_Sheet!N10:Q11,2))</t>
  </si>
  <si>
    <t>=IF(AD$1="HIDE",0,IF($P135="",0,NL("SUM","G/L Entry","Amount","G/L Account No.",$P135,"Global Dimension 2 Code",$F$12,"Fund No.",$F$22,"Company=",$D$6,"Posting Date",AD$3,"Transaction Type",AD$4,AD$7,AD$8)))</t>
  </si>
  <si>
    <t>=IF(AF$1="HIDE",0,IF($P135="",0,NL("SUM","G/L Entry","Amount","G/L Account No.",$P135,"Global Dimension 2 Code",$F$12,"Fund No.",$F$22,"Company=",$D$6,"Posting Date",AF$3,"Transaction Type",AF$4,AF$7,AF$8)))</t>
  </si>
  <si>
    <t>=T135-T134</t>
  </si>
  <si>
    <t>=IF(AD$1="HIDE",0,IF($P136="",0,NL("SUM","G/L Entry","Amount","G/L Account No.",$P136,"Global Dimension 2 Code",$F$12,"Fund No.",$F$22,"Company=",$D$6,"Posting Date",AD$3,"Transaction Type",AD$4,AD$7,AD$8)))</t>
  </si>
  <si>
    <t>=IF(AF$1="HIDE",0,IF($P136="",0,NL("SUM","G/L Entry","Amount","G/L Account No.",$P136,"Global Dimension 2 Code",$F$12,"Fund No.",$F$22,"Company=",$D$6,"Posting Date",AF$3,"Transaction Type",AF$4,AF$7,AF$8)))</t>
  </si>
  <si>
    <t>=ABS(AD134)+ABS(AD135)+ABS(AD136)</t>
  </si>
  <si>
    <t>=ABS(AF134)+ABS(AF135)+ABS(AF136)</t>
  </si>
  <si>
    <t>=-ROUND(NL("SUM","G/L Entry","Amount","G/L Account No.",$P140,"Fund No.",$F$22,"Company=",$D$6,"Transaction Type","ACTUAL","Global Dimension 2 Code",$F$12,"Posting Date",$J$4),0)</t>
  </si>
  <si>
    <t>=IF($X140=0,0,$AB140)</t>
  </si>
  <si>
    <t>=T136</t>
  </si>
  <si>
    <t>549001</t>
  </si>
  <si>
    <t>51301</t>
  </si>
  <si>
    <t>=IF($C$9=0,0,ROUND(NL("SUM","G/L Entry","Amount","G/L Account No.",$P141,"Fund No.",$F$22,"Company=",$D$6,"Transaction Type","ACTUAL","Global Dimension 1 Code",$V141,"Global Dimension 2 Code",$F$12,"Posting Date",$J$4),0))</t>
  </si>
  <si>
    <t>=IF($X141=0,0,IF($Z140=0,$AB141,0))</t>
  </si>
  <si>
    <t>=$AB140</t>
  </si>
  <si>
    <t>=IF($C$9=0,0,ROUND(NL("SUM","G/L Entry","Amount","G/L Account No.",$P142,"Fund No.",$F$22,"Company=",$D$6,"Transaction Type","ACTUAL","Global Dimension 1 Code",$V142,"Global Dimension 2 Code",$F$12,"Posting Date",$J$4),0))</t>
  </si>
  <si>
    <t>=IF($X142=0,0,IF(SUM($Z140:$Z141)=0,$AB142,0))</t>
  </si>
  <si>
    <t>=$AB141</t>
  </si>
  <si>
    <t>565001</t>
  </si>
  <si>
    <t>=IF($C$9=0,0,ROUND(NL("SUM","G/L Entry","Amount","G/L Account No.",$P143,"Fund No.",$F$22,"Company=",$D$6,"Transaction Type","ACTUAL","Global Dimension 1 Code",$V143,"Global Dimension 2 Code",$F$12,"Posting Date",$J$4),0))</t>
  </si>
  <si>
    <t>=IF($X143=0,0,IF(SUM($Z140:$Z142)=0,$AB143,0))</t>
  </si>
  <si>
    <t>=$AB142</t>
  </si>
  <si>
    <t>=P143+1</t>
  </si>
  <si>
    <t>=IF($C$9=0,0,ROUND(NL("SUM","G/L Entry","Amount","G/L Account No.",$P144,"Fund No.",$F$22,"Company=",$D$6,"Transaction Type","ACTUAL","Global Dimension 1 Code",$V144,"Global Dimension 2 Code",$F$12,"Posting Date",$J$4),0))</t>
  </si>
  <si>
    <t>=IF($X144=0,0,IF(SUM($Z140:$Z143)=0,$AB144,0))</t>
  </si>
  <si>
    <t>=$AB143</t>
  </si>
  <si>
    <t>=P144+1</t>
  </si>
  <si>
    <t>=IF($C$9=0,0,ROUND(NL("SUM","G/L Entry","Amount","G/L Account No.",$P145,"Fund No.",$F$22,"Company=",$D$6,"Transaction Type","ACTUAL","Global Dimension 1 Code",$V145,"Global Dimension 2 Code",$F$12,"Posting Date",$J$4),0))</t>
  </si>
  <si>
    <t>=IF($X145=0,0,IF(SUM($Z140:$Z144)=0,$AB145,0))</t>
  </si>
  <si>
    <t>=$AB144</t>
  </si>
  <si>
    <t>=P145+1</t>
  </si>
  <si>
    <t>=IF($C$9=0,0,ROUND(NL("SUM","G/L Entry","Amount","G/L Account No.",$P146,"Fund No.",$F$22,"Company=",$D$6,"Transaction Type","ACTUAL","Global Dimension 1 Code",$V146,"Global Dimension 2 Code",$F$12,"Posting Date",$J$4),0))</t>
  </si>
  <si>
    <t>=IF($X146=0,0,IF(SUM($Z140:$Z145)=0,$AB146,0))</t>
  </si>
  <si>
    <t>=$AB145</t>
  </si>
  <si>
    <t>=IF(SUM($Z140:$Z146)=0,$AB147,0)</t>
  </si>
  <si>
    <t>=$AB146</t>
  </si>
  <si>
    <t>Auto+Hide+Lock+Formulas=Sheet1,Sheet7,Sheet8+FormulasOnly</t>
  </si>
  <si>
    <t>=IF(AC196&lt;10,"hidesheet","showsheet")</t>
  </si>
  <si>
    <t>=IF(N$183=0,"Hide","Show")</t>
  </si>
  <si>
    <t>=IF($AC$9=1,"HIDE",N2)</t>
  </si>
  <si>
    <t>=IF(Q$183=0,"Hide","Show")</t>
  </si>
  <si>
    <t>=IF($AC$9=1,"HIDE",Q2)</t>
  </si>
  <si>
    <t>=IF(T$183=0,"Hide","Show")</t>
  </si>
  <si>
    <t>=IF($AC$9=1,"HIDE",T2)</t>
  </si>
  <si>
    <t>=IF(W$183=0,"Hide","Show")</t>
  </si>
  <si>
    <t>=IF($AC$9=1,"HIDE",W2)</t>
  </si>
  <si>
    <t>=IF(Z$183=0,"Hide","Show")</t>
  </si>
  <si>
    <t>=IF($AC$9=1,"HIDE",Z2)</t>
  </si>
  <si>
    <t>=IF(AC$183=0,"Hide",IF($AC$9=1,"hide","Show"))</t>
  </si>
  <si>
    <t>=IF($I110="NET ASSETS","","Governmental ")</t>
  </si>
  <si>
    <t>=IF($AD163=0,"","Enterprise ")</t>
  </si>
  <si>
    <t>=IF(N183=0,"",VALUE(M15))</t>
  </si>
  <si>
    <t>=IF(Q183=0,"",VALUE(P15))</t>
  </si>
  <si>
    <t>=IF(T183=0,"",VALUE(S15))</t>
  </si>
  <si>
    <t>=IF(W183=0,"",VALUE(V15))</t>
  </si>
  <si>
    <t>=IF(Z183=0,"",VALUE(Y15))</t>
  </si>
  <si>
    <t>=COUNT(M9:AB9)</t>
  </si>
  <si>
    <t>=IF(OR($AC$9&gt;1,$F$5="YES"),"Funds","Fund")</t>
  </si>
  <si>
    <t>=P15</t>
  </si>
  <si>
    <t>=S15</t>
  </si>
  <si>
    <t>=V15</t>
  </si>
  <si>
    <t>=Y15</t>
  </si>
  <si>
    <t>=N176</t>
  </si>
  <si>
    <t>=Q176</t>
  </si>
  <si>
    <t>=T176</t>
  </si>
  <si>
    <t>=W176</t>
  </si>
  <si>
    <t>=Z176</t>
  </si>
  <si>
    <t>=IF($I110="Net Assets","Statement of Net Assets","Balance Sheet")</t>
  </si>
  <si>
    <t>="201"</t>
  </si>
  <si>
    <t>=IF(OR($F$5="YES",Q$11=0),"",NL(,"Fund","Name","No.",P15,"company=",$D$4)&amp;" FUND")</t>
  </si>
  <si>
    <t>="202"</t>
  </si>
  <si>
    <t>=IF(OR($F$5="YES",T$11=0),"",NL(,"Fund","Name","No.",S15,"company=",$D$4)&amp;" FUND")</t>
  </si>
  <si>
    <t>="203"</t>
  </si>
  <si>
    <t>=IF(OR($F$5="YES",W$11=0),"",NL(,"Fund","Name","No.",V15,"company=",$D$4)&amp;" FUND")</t>
  </si>
  <si>
    <t>="204"</t>
  </si>
  <si>
    <t>=IF(OR($F$5="YES",Z$11=0),"",NL(,"Fund","Name","No.",Y15,"company=",$D$4)&amp;" FUND")</t>
  </si>
  <si>
    <t>=IF(P$15="",0,VALUE(P$15))</t>
  </si>
  <si>
    <t>=IF(S$15="",0,VALUE(S$15))</t>
  </si>
  <si>
    <t>=IF(V$15="",0,VALUE(V$15))</t>
  </si>
  <si>
    <t>=IF(Y$15="",0,VALUE(Y$15))</t>
  </si>
  <si>
    <t>=IF(AD81=0,"Hide","Show")</t>
  </si>
  <si>
    <t>=IF($AC196&lt;10,"ASSETS","ERROR, ERROR, THIS REPORT CONTAINS AN ERROR")</t>
  </si>
  <si>
    <t>=IF($F$5="YES",0,ROUND(NL("SUM","G/L Entry","Amount","G/L Account No.",$G21,"Fund No.","@@"&amp;P$15,"Company=",$D$4,"Transaction Type",$D$5,"Posting Date",$D$7),0))</t>
  </si>
  <si>
    <t>=IF($F$5="YES",0,ROUND(NL("SUM","G/L Entry","Amount","G/L Account No.",$G21,"Fund No.","@@"&amp;S$15,"Company=",$D$4,"Transaction Type",$D$5,"Posting Date",$D$7),0))</t>
  </si>
  <si>
    <t>=IF($F$5="YES",0,ROUND(NL("SUM","G/L Entry","Amount","G/L Account No.",$G21,"Fund No.","@@"&amp;V$15,"Company=",$D$4,"Transaction Type",$D$5,"Posting Date",$D$7),0))</t>
  </si>
  <si>
    <t>=IF($F$5="YES",0,ROUND(NL("SUM","G/L Entry","Amount","G/L Account No.",$G21,"Fund No.","@@"&amp;Y$15,"Company=",$D$4,"Transaction Type",$D$5,"Posting Date",$D$7),0))</t>
  </si>
  <si>
    <t>=SUM(N21:AB21)</t>
  </si>
  <si>
    <t>=ABS(SUM(N21:AB21))</t>
  </si>
  <si>
    <t>=IF(AD22=0,"Hide","Show")</t>
  </si>
  <si>
    <t>=IF($F$5="yes",0,ROUND(NL("SUM","G/L Entry","Amount","G/L Account No.","@@"&amp;$G22,"Fund No.","@@"&amp;P$15,"Company=",$D$4,"Transaction Type",$D$5,"Posting Date",$D$7),0))</t>
  </si>
  <si>
    <t>=IF($F$5="yes",0,ROUND(NL("SUM","G/L Entry","Amount","G/L Account No.","@@"&amp;$G22,"Fund No.","@@"&amp;S$15,"Company=",$D$4,"Transaction Type",$D$5,"Posting Date",$D$7),0))</t>
  </si>
  <si>
    <t>=IF($F$5="yes",0,ROUND(NL("SUM","G/L Entry","Amount","G/L Account No.","@@"&amp;$G22,"Fund No.","@@"&amp;V$15,"Company=",$D$4,"Transaction Type",$D$5,"Posting Date",$D$7),0))</t>
  </si>
  <si>
    <t>=IF($F$5="yes",0,ROUND(NL("SUM","G/L Entry","Amount","G/L Account No.","@@"&amp;$G22,"Fund No.","@@"&amp;Y$15,"Company=",$D$4,"Transaction Type",$D$5,"Posting Date",$D$7),0))</t>
  </si>
  <si>
    <t>=SUM(N22:AB22)</t>
  </si>
  <si>
    <t>=ABS(SUM(N22:AB22))</t>
  </si>
  <si>
    <t>=IF(AD23=0,"Hide","Show")</t>
  </si>
  <si>
    <t>="103000"</t>
  </si>
  <si>
    <t>=IF($G23="","",NL("Rows","G/L Account","Name","No.",$G23,"Company=",$D$4))</t>
  </si>
  <si>
    <t>=IF($F$5="yes",0,ROUND(NL("SUM","G/L Entry","Amount","G/L Account No.","@@"&amp;$G23,"Fund No.","@@"&amp;M$15,"Company=",$D$4,"Transaction Type",$D$5,"Posting Date",$D$7),0))</t>
  </si>
  <si>
    <t>=IF($F$5="yes",0,ROUND(NL("SUM","G/L Entry","Amount","G/L Account No.","@@"&amp;$G23,"Fund No.","@@"&amp;P$15,"Company=",$D$4,"Transaction Type",$D$5,"Posting Date",$D$7),0))</t>
  </si>
  <si>
    <t>=IF($F$5="yes",0,ROUND(NL("SUM","G/L Entry","Amount","G/L Account No.","@@"&amp;$G23,"Fund No.","@@"&amp;S$15,"Company=",$D$4,"Transaction Type",$D$5,"Posting Date",$D$7),0))</t>
  </si>
  <si>
    <t>=IF($F$5="yes",0,ROUND(NL("SUM","G/L Entry","Amount","G/L Account No.","@@"&amp;$G23,"Fund No.","@@"&amp;V$15,"Company=",$D$4,"Transaction Type",$D$5,"Posting Date",$D$7),0))</t>
  </si>
  <si>
    <t>=IF($F$5="yes",0,ROUND(NL("SUM","G/L Entry","Amount","G/L Account No.","@@"&amp;$G23,"Fund No.","@@"&amp;Y$15,"Company=",$D$4,"Transaction Type",$D$5,"Posting Date",$D$7),0))</t>
  </si>
  <si>
    <t>=SUM(N23:AB23)</t>
  </si>
  <si>
    <t>=ABS(SUM(N23:AB23))</t>
  </si>
  <si>
    <t>=IF(AD24=0,"Hide","Show")</t>
  </si>
  <si>
    <t>="115000"</t>
  </si>
  <si>
    <t>=IF($F$5="yes",0,ROUND(NL("SUM","G/L Entry","Amount","G/L Account No.","@@"&amp;$G24,"Fund No.","@@"&amp;M$15,"Company=",$D$4,"Transaction Type",$D$5,"Posting Date",$D$7),0))</t>
  </si>
  <si>
    <t>=IF($F$5="yes",0,ROUND(NL("SUM","G/L Entry","Amount","G/L Account No.","@@"&amp;$G24,"Fund No.","@@"&amp;P$15,"Company=",$D$4,"Transaction Type",$D$5,"Posting Date",$D$7),0))</t>
  </si>
  <si>
    <t>=IF($F$5="yes",0,ROUND(NL("SUM","G/L Entry","Amount","G/L Account No.","@@"&amp;$G24,"Fund No.","@@"&amp;S$15,"Company=",$D$4,"Transaction Type",$D$5,"Posting Date",$D$7),0))</t>
  </si>
  <si>
    <t>=IF($F$5="yes",0,ROUND(NL("SUM","G/L Entry","Amount","G/L Account No.","@@"&amp;$G24,"Fund No.","@@"&amp;V$15,"Company=",$D$4,"Transaction Type",$D$5,"Posting Date",$D$7),0))</t>
  </si>
  <si>
    <t>=IF($F$5="yes",0,ROUND(NL("SUM","G/L Entry","Amount","G/L Account No.","@@"&amp;$G24,"Fund No.","@@"&amp;Y$15,"Company=",$D$4,"Transaction Type",$D$5,"Posting Date",$D$7),0))</t>
  </si>
  <si>
    <t>=SUM(N24:AB24)</t>
  </si>
  <si>
    <t>=ABS(SUM(N24:AB24))</t>
  </si>
  <si>
    <t>=IF(AD25=0,"Hide","Show")</t>
  </si>
  <si>
    <t>="115150"</t>
  </si>
  <si>
    <t>=IF($G25="","",NL("Rows","G/L Account","Name","No.",$G25,"Company=",$D$4))</t>
  </si>
  <si>
    <t>=IF($F$5="yes",0,ROUND(NL("SUM","G/L Entry","Amount","G/L Account No.","@@"&amp;$G25,"Fund No.","@@"&amp;M$15,"Company=",$D$4,"Transaction Type",$D$5,"Posting Date",$D$7),0))</t>
  </si>
  <si>
    <t>=IF($F$5="yes",0,ROUND(NL("SUM","G/L Entry","Amount","G/L Account No.","@@"&amp;$G25,"Fund No.","@@"&amp;P$15,"Company=",$D$4,"Transaction Type",$D$5,"Posting Date",$D$7),0))</t>
  </si>
  <si>
    <t>=IF($F$5="yes",0,ROUND(NL("SUM","G/L Entry","Amount","G/L Account No.","@@"&amp;$G25,"Fund No.","@@"&amp;S$15,"Company=",$D$4,"Transaction Type",$D$5,"Posting Date",$D$7),0))</t>
  </si>
  <si>
    <t>=IF($F$5="yes",0,ROUND(NL("SUM","G/L Entry","Amount","G/L Account No.","@@"&amp;$G25,"Fund No.","@@"&amp;V$15,"Company=",$D$4,"Transaction Type",$D$5,"Posting Date",$D$7),0))</t>
  </si>
  <si>
    <t>=IF($F$5="yes",0,ROUND(NL("SUM","G/L Entry","Amount","G/L Account No.","@@"&amp;$G25,"Fund No.","@@"&amp;Y$15,"Company=",$D$4,"Transaction Type",$D$5,"Posting Date",$D$7),0))</t>
  </si>
  <si>
    <t>=SUM(N25:AB25)</t>
  </si>
  <si>
    <t>=ABS(SUM(N25:AB25))</t>
  </si>
  <si>
    <t>=IF(AD26=0,"Hide","Show")</t>
  </si>
  <si>
    <t>="121000"</t>
  </si>
  <si>
    <t>=IF($G26="","",NL("Rows","G/L Account","Name","No.",$G26,"Company=",$D$4))</t>
  </si>
  <si>
    <t>=IF($F$5="yes",0,ROUND(NL("SUM","G/L Entry","Amount","G/L Account No.","@@"&amp;$G26,"Fund No.","@@"&amp;M$15,"Company=",$D$4,"Transaction Type",$D$5,"Posting Date",$D$7),0))</t>
  </si>
  <si>
    <t>=IF($F$5="yes",0,ROUND(NL("SUM","G/L Entry","Amount","G/L Account No.","@@"&amp;$G26,"Fund No.","@@"&amp;P$15,"Company=",$D$4,"Transaction Type",$D$5,"Posting Date",$D$7),0))</t>
  </si>
  <si>
    <t>=IF($F$5="yes",0,ROUND(NL("SUM","G/L Entry","Amount","G/L Account No.","@@"&amp;$G26,"Fund No.","@@"&amp;S$15,"Company=",$D$4,"Transaction Type",$D$5,"Posting Date",$D$7),0))</t>
  </si>
  <si>
    <t>=IF($F$5="yes",0,ROUND(NL("SUM","G/L Entry","Amount","G/L Account No.","@@"&amp;$G26,"Fund No.","@@"&amp;V$15,"Company=",$D$4,"Transaction Type",$D$5,"Posting Date",$D$7),0))</t>
  </si>
  <si>
    <t>=IF($F$5="yes",0,ROUND(NL("SUM","G/L Entry","Amount","G/L Account No.","@@"&amp;$G26,"Fund No.","@@"&amp;Y$15,"Company=",$D$4,"Transaction Type",$D$5,"Posting Date",$D$7),0))</t>
  </si>
  <si>
    <t>=SUM(N26:AB26)</t>
  </si>
  <si>
    <t>=ABS(SUM(N26:AB26))</t>
  </si>
  <si>
    <t>=IF(AD27=0,"Hide","Show")</t>
  </si>
  <si>
    <t>="122000"</t>
  </si>
  <si>
    <t>=IF($G27="","",NL("Rows","G/L Account","Name","No.",$G27,"Company=",$D$4))</t>
  </si>
  <si>
    <t>=IF($F$5="yes",0,ROUND(NL("SUM","G/L Entry","Amount","G/L Account No.","@@"&amp;$G27,"Fund No.","@@"&amp;M$15,"Company=",$D$4,"Transaction Type",$D$5,"Posting Date",$D$7),0))</t>
  </si>
  <si>
    <t>=IF($F$5="yes",0,ROUND(NL("SUM","G/L Entry","Amount","G/L Account No.","@@"&amp;$G27,"Fund No.","@@"&amp;P$15,"Company=",$D$4,"Transaction Type",$D$5,"Posting Date",$D$7),0))</t>
  </si>
  <si>
    <t>=IF($F$5="yes",0,ROUND(NL("SUM","G/L Entry","Amount","G/L Account No.","@@"&amp;$G27,"Fund No.","@@"&amp;S$15,"Company=",$D$4,"Transaction Type",$D$5,"Posting Date",$D$7),0))</t>
  </si>
  <si>
    <t>=IF($F$5="yes",0,ROUND(NL("SUM","G/L Entry","Amount","G/L Account No.","@@"&amp;$G27,"Fund No.","@@"&amp;V$15,"Company=",$D$4,"Transaction Type",$D$5,"Posting Date",$D$7),0))</t>
  </si>
  <si>
    <t>=IF($F$5="yes",0,ROUND(NL("SUM","G/L Entry","Amount","G/L Account No.","@@"&amp;$G27,"Fund No.","@@"&amp;Y$15,"Company=",$D$4,"Transaction Type",$D$5,"Posting Date",$D$7),0))</t>
  </si>
  <si>
    <t>=SUM(N27:AB27)</t>
  </si>
  <si>
    <t>=ABS(SUM(N27:AB27))</t>
  </si>
  <si>
    <t>=IF(AD28=0,"Hide","Show")</t>
  </si>
  <si>
    <t>="125000"</t>
  </si>
  <si>
    <t>=IF($G28="","",NL("Rows","G/L Account","Name","No.",$G28,"Company=",$D$4))</t>
  </si>
  <si>
    <t>=IF($F$5="yes",0,ROUND(NL("SUM","G/L Entry","Amount","G/L Account No.","@@"&amp;$G28,"Fund No.","@@"&amp;M$15,"Company=",$D$4,"Transaction Type",$D$5,"Posting Date",$D$7),0))</t>
  </si>
  <si>
    <t>=IF($F$5="yes",0,ROUND(NL("SUM","G/L Entry","Amount","G/L Account No.","@@"&amp;$G28,"Fund No.","@@"&amp;P$15,"Company=",$D$4,"Transaction Type",$D$5,"Posting Date",$D$7),0))</t>
  </si>
  <si>
    <t>=IF($F$5="yes",0,ROUND(NL("SUM","G/L Entry","Amount","G/L Account No.","@@"&amp;$G28,"Fund No.","@@"&amp;S$15,"Company=",$D$4,"Transaction Type",$D$5,"Posting Date",$D$7),0))</t>
  </si>
  <si>
    <t>=IF($F$5="yes",0,ROUND(NL("SUM","G/L Entry","Amount","G/L Account No.","@@"&amp;$G28,"Fund No.","@@"&amp;V$15,"Company=",$D$4,"Transaction Type",$D$5,"Posting Date",$D$7),0))</t>
  </si>
  <si>
    <t>=IF($F$5="yes",0,ROUND(NL("SUM","G/L Entry","Amount","G/L Account No.","@@"&amp;$G28,"Fund No.","@@"&amp;Y$15,"Company=",$D$4,"Transaction Type",$D$5,"Posting Date",$D$7),0))</t>
  </si>
  <si>
    <t>=SUM(N28:AB28)</t>
  </si>
  <si>
    <t>=ABS(SUM(N28:AB28))</t>
  </si>
  <si>
    <t>=IF(AD29=0,"Hide","Show")</t>
  </si>
  <si>
    <t>="130000"</t>
  </si>
  <si>
    <t>=IF($G29="","",NL("Rows","G/L Account","Name","No.",$G29,"Company=",$D$4))</t>
  </si>
  <si>
    <t>=IF($F$5="yes",0,ROUND(NL("SUM","G/L Entry","Amount","G/L Account No.","@@"&amp;$G29,"Fund No.","@@"&amp;M$15,"Company=",$D$4,"Transaction Type",$D$5,"Posting Date",$D$7),0))</t>
  </si>
  <si>
    <t>=IF($F$5="yes",0,ROUND(NL("SUM","G/L Entry","Amount","G/L Account No.","@@"&amp;$G29,"Fund No.","@@"&amp;P$15,"Company=",$D$4,"Transaction Type",$D$5,"Posting Date",$D$7),0))</t>
  </si>
  <si>
    <t>=IF($F$5="yes",0,ROUND(NL("SUM","G/L Entry","Amount","G/L Account No.","@@"&amp;$G29,"Fund No.","@@"&amp;S$15,"Company=",$D$4,"Transaction Type",$D$5,"Posting Date",$D$7),0))</t>
  </si>
  <si>
    <t>=IF($F$5="yes",0,ROUND(NL("SUM","G/L Entry","Amount","G/L Account No.","@@"&amp;$G29,"Fund No.","@@"&amp;V$15,"Company=",$D$4,"Transaction Type",$D$5,"Posting Date",$D$7),0))</t>
  </si>
  <si>
    <t>=IF($F$5="yes",0,ROUND(NL("SUM","G/L Entry","Amount","G/L Account No.","@@"&amp;$G29,"Fund No.","@@"&amp;Y$15,"Company=",$D$4,"Transaction Type",$D$5,"Posting Date",$D$7),0))</t>
  </si>
  <si>
    <t>=SUM(N29:AB29)</t>
  </si>
  <si>
    <t>=ABS(SUM(N29:AB29))</t>
  </si>
  <si>
    <t>=IF(AD30=0,"Hide","Show")</t>
  </si>
  <si>
    <t>="133000"</t>
  </si>
  <si>
    <t>=IF($G30="","",NL("Rows","G/L Account","Name","No.",$G30,"Company=",$D$4))</t>
  </si>
  <si>
    <t>=IF($F$5="yes",0,ROUND(NL("SUM","G/L Entry","Amount","G/L Account No.","@@"&amp;$G30,"Fund No.","@@"&amp;M$15,"Company=",$D$4,"Transaction Type",$D$5,"Posting Date",$D$7),0))</t>
  </si>
  <si>
    <t>=IF($F$5="yes",0,ROUND(NL("SUM","G/L Entry","Amount","G/L Account No.","@@"&amp;$G30,"Fund No.","@@"&amp;P$15,"Company=",$D$4,"Transaction Type",$D$5,"Posting Date",$D$7),0))</t>
  </si>
  <si>
    <t>=IF($F$5="yes",0,ROUND(NL("SUM","G/L Entry","Amount","G/L Account No.","@@"&amp;$G30,"Fund No.","@@"&amp;S$15,"Company=",$D$4,"Transaction Type",$D$5,"Posting Date",$D$7),0))</t>
  </si>
  <si>
    <t>=IF($F$5="yes",0,ROUND(NL("SUM","G/L Entry","Amount","G/L Account No.","@@"&amp;$G30,"Fund No.","@@"&amp;V$15,"Company=",$D$4,"Transaction Type",$D$5,"Posting Date",$D$7),0))</t>
  </si>
  <si>
    <t>=IF($F$5="yes",0,ROUND(NL("SUM","G/L Entry","Amount","G/L Account No.","@@"&amp;$G30,"Fund No.","@@"&amp;Y$15,"Company=",$D$4,"Transaction Type",$D$5,"Posting Date",$D$7),0))</t>
  </si>
  <si>
    <t>=SUM(N30:AB30)</t>
  </si>
  <si>
    <t>=ABS(SUM(N30:AB30))</t>
  </si>
  <si>
    <t>=IF(AD31=0,"Hide","Show")</t>
  </si>
  <si>
    <t>="135000"</t>
  </si>
  <si>
    <t>=IF($G31="","",NL("Rows","G/L Account","Name","No.",$G31,"Company=",$D$4))</t>
  </si>
  <si>
    <t>=IF($F$5="yes",0,ROUND(NL("SUM","G/L Entry","Amount","G/L Account No.","@@"&amp;$G31,"Fund No.","@@"&amp;M$15,"Company=",$D$4,"Transaction Type",$D$5,"Posting Date",$D$7),0))</t>
  </si>
  <si>
    <t>=IF($F$5="yes",0,ROUND(NL("SUM","G/L Entry","Amount","G/L Account No.","@@"&amp;$G31,"Fund No.","@@"&amp;P$15,"Company=",$D$4,"Transaction Type",$D$5,"Posting Date",$D$7),0))</t>
  </si>
  <si>
    <t>=IF($F$5="yes",0,ROUND(NL("SUM","G/L Entry","Amount","G/L Account No.","@@"&amp;$G31,"Fund No.","@@"&amp;S$15,"Company=",$D$4,"Transaction Type",$D$5,"Posting Date",$D$7),0))</t>
  </si>
  <si>
    <t>=IF($F$5="yes",0,ROUND(NL("SUM","G/L Entry","Amount","G/L Account No.","@@"&amp;$G31,"Fund No.","@@"&amp;V$15,"Company=",$D$4,"Transaction Type",$D$5,"Posting Date",$D$7),0))</t>
  </si>
  <si>
    <t>=IF($F$5="yes",0,ROUND(NL("SUM","G/L Entry","Amount","G/L Account No.","@@"&amp;$G31,"Fund No.","@@"&amp;Y$15,"Company=",$D$4,"Transaction Type",$D$5,"Posting Date",$D$7),0))</t>
  </si>
  <si>
    <t>=SUM(N31:AB31)</t>
  </si>
  <si>
    <t>=ABS(SUM(N31:AB31))</t>
  </si>
  <si>
    <t>=NL("Rows","G/L Entry","G/L Account No.","G/L Account No.",$D$32,"Fund No.",$D$8,"Company=",$D$4,"Posting Date",$D$7,"Transaction Type",$D$5)</t>
  </si>
  <si>
    <t>=IF($G33="","",NL("Rows","G/L Account","Name","No.",$G33,"Company=",$D$4))</t>
  </si>
  <si>
    <t>=IF($F$5="YES",0,ROUND(NL("SUM","G/L Entry","Amount","G/L Account No.","@@"&amp;$G33,"Fund No.","@@"&amp;M$15,"Company=",$D$4,"Transaction Type",$D$5,"Posting Date",$D$7),0))</t>
  </si>
  <si>
    <t>=IF($F$5="YES",0,ROUND(NL("SUM","G/L Entry","Amount","G/L Account No.","@@"&amp;$G33,"Fund No.","@@"&amp;P$15,"Company=",$D$4,"Transaction Type",$D$5,"Posting Date",$D$7),0))</t>
  </si>
  <si>
    <t>=IF($F$5="YES",0,ROUND(NL("SUM","G/L Entry","Amount","G/L Account No.","@@"&amp;$G33,"Fund No.","@@"&amp;S$15,"Company=",$D$4,"Transaction Type",$D$5,"Posting Date",$D$7),0))</t>
  </si>
  <si>
    <t>=IF($F$5="YES",0,ROUND(NL("SUM","G/L Entry","Amount","G/L Account No.","@@"&amp;$G33,"Fund No.","@@"&amp;V$15,"Company=",$D$4,"Transaction Type",$D$5,"Posting Date",$D$7),0))</t>
  </si>
  <si>
    <t>=IF($F$5="YES",0,ROUND(NL("SUM","G/L Entry","Amount","G/L Account No.","@@"&amp;$G33,"Fund No.","@@"&amp;Y$15,"Company=",$D$4,"Transaction Type",$D$5,"Posting Date",$D$7),0))</t>
  </si>
  <si>
    <t>=SUM(N33:AB33)</t>
  </si>
  <si>
    <t>=ABS(SUM(N33:AB33))</t>
  </si>
  <si>
    <t>="131002"</t>
  </si>
  <si>
    <t>=IF($G34="","",NL("Rows","G/L Account","Name","No.",$G34,"Company=",$D$4))</t>
  </si>
  <si>
    <t>=IF($F$5="YES",0,ROUND(NL("SUM","G/L Entry","Amount","G/L Account No.","@@"&amp;$G34,"Fund No.","@@"&amp;M$15,"Company=",$D$4,"Transaction Type",$D$5,"Posting Date",$D$7),0))</t>
  </si>
  <si>
    <t>=IF($F$5="YES",0,ROUND(NL("SUM","G/L Entry","Amount","G/L Account No.","@@"&amp;$G34,"Fund No.","@@"&amp;P$15,"Company=",$D$4,"Transaction Type",$D$5,"Posting Date",$D$7),0))</t>
  </si>
  <si>
    <t>=IF($F$5="YES",0,ROUND(NL("SUM","G/L Entry","Amount","G/L Account No.","@@"&amp;$G34,"Fund No.","@@"&amp;S$15,"Company=",$D$4,"Transaction Type",$D$5,"Posting Date",$D$7),0))</t>
  </si>
  <si>
    <t>=IF($F$5="YES",0,ROUND(NL("SUM","G/L Entry","Amount","G/L Account No.","@@"&amp;$G34,"Fund No.","@@"&amp;V$15,"Company=",$D$4,"Transaction Type",$D$5,"Posting Date",$D$7),0))</t>
  </si>
  <si>
    <t>=IF($F$5="YES",0,ROUND(NL("SUM","G/L Entry","Amount","G/L Account No.","@@"&amp;$G34,"Fund No.","@@"&amp;Y$15,"Company=",$D$4,"Transaction Type",$D$5,"Posting Date",$D$7),0))</t>
  </si>
  <si>
    <t>=SUM(N34:AB34)</t>
  </si>
  <si>
    <t>=ABS(SUM(N34:AB34))</t>
  </si>
  <si>
    <t>="131008"</t>
  </si>
  <si>
    <t>=IF($F$5="YES",0,ROUND(NL("SUM","G/L Entry","Amount","G/L Account No.","@@"&amp;$G35,"Fund No.","@@"&amp;P$15,"Company=",$D$4,"Transaction Type",$D$5,"Posting Date",$D$7),0))</t>
  </si>
  <si>
    <t>=IF($F$5="YES",0,ROUND(NL("SUM","G/L Entry","Amount","G/L Account No.","@@"&amp;$G35,"Fund No.","@@"&amp;S$15,"Company=",$D$4,"Transaction Type",$D$5,"Posting Date",$D$7),0))</t>
  </si>
  <si>
    <t>=IF($F$5="YES",0,ROUND(NL("SUM","G/L Entry","Amount","G/L Account No.","@@"&amp;$G35,"Fund No.","@@"&amp;V$15,"Company=",$D$4,"Transaction Type",$D$5,"Posting Date",$D$7),0))</t>
  </si>
  <si>
    <t>=IF($F$5="YES",0,ROUND(NL("SUM","G/L Entry","Amount","G/L Account No.","@@"&amp;$G35,"Fund No.","@@"&amp;Y$15,"Company=",$D$4,"Transaction Type",$D$5,"Posting Date",$D$7),0))</t>
  </si>
  <si>
    <t>=SUM(N35:AB35)</t>
  </si>
  <si>
    <t>=ABS(SUM(N35:AB35))</t>
  </si>
  <si>
    <t>="131009"</t>
  </si>
  <si>
    <t>=IF($G36="","",NL("Rows","G/L Account","Name","No.",$G36,"Company=",$D$4))</t>
  </si>
  <si>
    <t>=IF($F$5="YES",0,ROUND(NL("SUM","G/L Entry","Amount","G/L Account No.","@@"&amp;$G36,"Fund No.","@@"&amp;M$15,"Company=",$D$4,"Transaction Type",$D$5,"Posting Date",$D$7),0))</t>
  </si>
  <si>
    <t>=IF($F$5="YES",0,ROUND(NL("SUM","G/L Entry","Amount","G/L Account No.","@@"&amp;$G36,"Fund No.","@@"&amp;P$15,"Company=",$D$4,"Transaction Type",$D$5,"Posting Date",$D$7),0))</t>
  </si>
  <si>
    <t>=IF($F$5="YES",0,ROUND(NL("SUM","G/L Entry","Amount","G/L Account No.","@@"&amp;$G36,"Fund No.","@@"&amp;S$15,"Company=",$D$4,"Transaction Type",$D$5,"Posting Date",$D$7),0))</t>
  </si>
  <si>
    <t>=IF($F$5="YES",0,ROUND(NL("SUM","G/L Entry","Amount","G/L Account No.","@@"&amp;$G36,"Fund No.","@@"&amp;V$15,"Company=",$D$4,"Transaction Type",$D$5,"Posting Date",$D$7),0))</t>
  </si>
  <si>
    <t>=IF($F$5="YES",0,ROUND(NL("SUM","G/L Entry","Amount","G/L Account No.","@@"&amp;$G36,"Fund No.","@@"&amp;Y$15,"Company=",$D$4,"Transaction Type",$D$5,"Posting Date",$D$7),0))</t>
  </si>
  <si>
    <t>=SUM(N36:AB36)</t>
  </si>
  <si>
    <t>=ABS(SUM(N36:AB36))</t>
  </si>
  <si>
    <t>="131010"</t>
  </si>
  <si>
    <t>=IF($G37="","",NL("Rows","G/L Account","Name","No.",$G37,"Company=",$D$4))</t>
  </si>
  <si>
    <t>=IF($F$5="YES",0,ROUND(NL("SUM","G/L Entry","Amount","G/L Account No.","@@"&amp;$G37,"Fund No.","@@"&amp;M$15,"Company=",$D$4,"Transaction Type",$D$5,"Posting Date",$D$7),0))</t>
  </si>
  <si>
    <t>=IF($F$5="YES",0,ROUND(NL("SUM","G/L Entry","Amount","G/L Account No.","@@"&amp;$G37,"Fund No.","@@"&amp;P$15,"Company=",$D$4,"Transaction Type",$D$5,"Posting Date",$D$7),0))</t>
  </si>
  <si>
    <t>=IF($F$5="YES",0,ROUND(NL("SUM","G/L Entry","Amount","G/L Account No.","@@"&amp;$G37,"Fund No.","@@"&amp;S$15,"Company=",$D$4,"Transaction Type",$D$5,"Posting Date",$D$7),0))</t>
  </si>
  <si>
    <t>=IF($F$5="YES",0,ROUND(NL("SUM","G/L Entry","Amount","G/L Account No.","@@"&amp;$G37,"Fund No.","@@"&amp;V$15,"Company=",$D$4,"Transaction Type",$D$5,"Posting Date",$D$7),0))</t>
  </si>
  <si>
    <t>=IF($F$5="YES",0,ROUND(NL("SUM","G/L Entry","Amount","G/L Account No.","@@"&amp;$G37,"Fund No.","@@"&amp;Y$15,"Company=",$D$4,"Transaction Type",$D$5,"Posting Date",$D$7),0))</t>
  </si>
  <si>
    <t>=SUM(N37:AB37)</t>
  </si>
  <si>
    <t>=ABS(SUM(N37:AB37))</t>
  </si>
  <si>
    <t>="131011"</t>
  </si>
  <si>
    <t>=IF($G38="","",NL("Rows","G/L Account","Name","No.",$G38,"Company=",$D$4))</t>
  </si>
  <si>
    <t>=IF($F$5="YES",0,ROUND(NL("SUM","G/L Entry","Amount","G/L Account No.","@@"&amp;$G38,"Fund No.","@@"&amp;M$15,"Company=",$D$4,"Transaction Type",$D$5,"Posting Date",$D$7),0))</t>
  </si>
  <si>
    <t>=IF($F$5="YES",0,ROUND(NL("SUM","G/L Entry","Amount","G/L Account No.","@@"&amp;$G38,"Fund No.","@@"&amp;P$15,"Company=",$D$4,"Transaction Type",$D$5,"Posting Date",$D$7),0))</t>
  </si>
  <si>
    <t>=IF($F$5="YES",0,ROUND(NL("SUM","G/L Entry","Amount","G/L Account No.","@@"&amp;$G38,"Fund No.","@@"&amp;S$15,"Company=",$D$4,"Transaction Type",$D$5,"Posting Date",$D$7),0))</t>
  </si>
  <si>
    <t>=IF($F$5="YES",0,ROUND(NL("SUM","G/L Entry","Amount","G/L Account No.","@@"&amp;$G38,"Fund No.","@@"&amp;V$15,"Company=",$D$4,"Transaction Type",$D$5,"Posting Date",$D$7),0))</t>
  </si>
  <si>
    <t>=IF($F$5="YES",0,ROUND(NL("SUM","G/L Entry","Amount","G/L Account No.","@@"&amp;$G38,"Fund No.","@@"&amp;Y$15,"Company=",$D$4,"Transaction Type",$D$5,"Posting Date",$D$7),0))</t>
  </si>
  <si>
    <t>=SUM(N38:AB38)</t>
  </si>
  <si>
    <t>=ABS(SUM(N38:AB38))</t>
  </si>
  <si>
    <t>="131014"</t>
  </si>
  <si>
    <t>=IF($G39="","",NL("Rows","G/L Account","Name","No.",$G39,"Company=",$D$4))</t>
  </si>
  <si>
    <t>=IF($F$5="YES",0,ROUND(NL("SUM","G/L Entry","Amount","G/L Account No.","@@"&amp;$G39,"Fund No.","@@"&amp;M$15,"Company=",$D$4,"Transaction Type",$D$5,"Posting Date",$D$7),0))</t>
  </si>
  <si>
    <t>=IF($F$5="YES",0,ROUND(NL("SUM","G/L Entry","Amount","G/L Account No.","@@"&amp;$G39,"Fund No.","@@"&amp;P$15,"Company=",$D$4,"Transaction Type",$D$5,"Posting Date",$D$7),0))</t>
  </si>
  <si>
    <t>=IF($F$5="YES",0,ROUND(NL("SUM","G/L Entry","Amount","G/L Account No.","@@"&amp;$G39,"Fund No.","@@"&amp;S$15,"Company=",$D$4,"Transaction Type",$D$5,"Posting Date",$D$7),0))</t>
  </si>
  <si>
    <t>=IF($F$5="YES",0,ROUND(NL("SUM","G/L Entry","Amount","G/L Account No.","@@"&amp;$G39,"Fund No.","@@"&amp;V$15,"Company=",$D$4,"Transaction Type",$D$5,"Posting Date",$D$7),0))</t>
  </si>
  <si>
    <t>=IF($F$5="YES",0,ROUND(NL("SUM","G/L Entry","Amount","G/L Account No.","@@"&amp;$G39,"Fund No.","@@"&amp;Y$15,"Company=",$D$4,"Transaction Type",$D$5,"Posting Date",$D$7),0))</t>
  </si>
  <si>
    <t>=SUM(N39:AB39)</t>
  </si>
  <si>
    <t>=ABS(SUM(N39:AB39))</t>
  </si>
  <si>
    <t>="131015"</t>
  </si>
  <si>
    <t>=IF($G40="","",NL("Rows","G/L Account","Name","No.",$G40,"Company=",$D$4))</t>
  </si>
  <si>
    <t>=IF($F$5="YES",0,ROUND(NL("SUM","G/L Entry","Amount","G/L Account No.","@@"&amp;$G40,"Fund No.","@@"&amp;M$15,"Company=",$D$4,"Transaction Type",$D$5,"Posting Date",$D$7),0))</t>
  </si>
  <si>
    <t>=IF($F$5="YES",0,ROUND(NL("SUM","G/L Entry","Amount","G/L Account No.","@@"&amp;$G40,"Fund No.","@@"&amp;P$15,"Company=",$D$4,"Transaction Type",$D$5,"Posting Date",$D$7),0))</t>
  </si>
  <si>
    <t>=IF($F$5="YES",0,ROUND(NL("SUM","G/L Entry","Amount","G/L Account No.","@@"&amp;$G40,"Fund No.","@@"&amp;S$15,"Company=",$D$4,"Transaction Type",$D$5,"Posting Date",$D$7),0))</t>
  </si>
  <si>
    <t>=IF($F$5="YES",0,ROUND(NL("SUM","G/L Entry","Amount","G/L Account No.","@@"&amp;$G40,"Fund No.","@@"&amp;V$15,"Company=",$D$4,"Transaction Type",$D$5,"Posting Date",$D$7),0))</t>
  </si>
  <si>
    <t>=IF($F$5="YES",0,ROUND(NL("SUM","G/L Entry","Amount","G/L Account No.","@@"&amp;$G40,"Fund No.","@@"&amp;Y$15,"Company=",$D$4,"Transaction Type",$D$5,"Posting Date",$D$7),0))</t>
  </si>
  <si>
    <t>=SUM(N40:AB40)</t>
  </si>
  <si>
    <t>=ABS(SUM(N40:AB40))</t>
  </si>
  <si>
    <t>="131073"</t>
  </si>
  <si>
    <t>=IF($G41="","",NL("Rows","G/L Account","Name","No.",$G41,"Company=",$D$4))</t>
  </si>
  <si>
    <t>=IF($F$5="YES",0,ROUND(NL("SUM","G/L Entry","Amount","G/L Account No.","@@"&amp;$G41,"Fund No.","@@"&amp;P$15,"Company=",$D$4,"Transaction Type",$D$5,"Posting Date",$D$7),0))</t>
  </si>
  <si>
    <t>=IF($F$5="YES",0,ROUND(NL("SUM","G/L Entry","Amount","G/L Account No.","@@"&amp;$G41,"Fund No.","@@"&amp;S$15,"Company=",$D$4,"Transaction Type",$D$5,"Posting Date",$D$7),0))</t>
  </si>
  <si>
    <t>=IF($F$5="YES",0,ROUND(NL("SUM","G/L Entry","Amount","G/L Account No.","@@"&amp;$G41,"Fund No.","@@"&amp;V$15,"Company=",$D$4,"Transaction Type",$D$5,"Posting Date",$D$7),0))</t>
  </si>
  <si>
    <t>=IF($F$5="YES",0,ROUND(NL("SUM","G/L Entry","Amount","G/L Account No.","@@"&amp;$G41,"Fund No.","@@"&amp;Y$15,"Company=",$D$4,"Transaction Type",$D$5,"Posting Date",$D$7),0))</t>
  </si>
  <si>
    <t>=SUM(N41:AB41)</t>
  </si>
  <si>
    <t>=ABS(SUM(N41:AB41))</t>
  </si>
  <si>
    <t>="207000"</t>
  </si>
  <si>
    <t>=IF($G42="","",NL("Rows","G/L Account","Name","No.",$G42,"Company=",$D$4))</t>
  </si>
  <si>
    <t>=IF($F$5="YES",0,ROUND(NL("SUM","G/L Entry","Amount","G/L Account No.","@@"&amp;$G42,"Fund No.","@@"&amp;M$15,"Company=",$D$4,"Transaction Type",$D$5,"Posting Date",$D$7),0))</t>
  </si>
  <si>
    <t>=IF($F$5="YES",0,ROUND(NL("SUM","G/L Entry","Amount","G/L Account No.","@@"&amp;$G42,"Fund No.","@@"&amp;P$15,"Company=",$D$4,"Transaction Type",$D$5,"Posting Date",$D$7),0))</t>
  </si>
  <si>
    <t>=IF($F$5="YES",0,ROUND(NL("SUM","G/L Entry","Amount","G/L Account No.","@@"&amp;$G42,"Fund No.","@@"&amp;S$15,"Company=",$D$4,"Transaction Type",$D$5,"Posting Date",$D$7),0))</t>
  </si>
  <si>
    <t>=IF($F$5="YES",0,ROUND(NL("SUM","G/L Entry","Amount","G/L Account No.","@@"&amp;$G42,"Fund No.","@@"&amp;V$15,"Company=",$D$4,"Transaction Type",$D$5,"Posting Date",$D$7),0))</t>
  </si>
  <si>
    <t>=IF($F$5="YES",0,ROUND(NL("SUM","G/L Entry","Amount","G/L Account No.","@@"&amp;$G42,"Fund No.","@@"&amp;Y$15,"Company=",$D$4,"Transaction Type",$D$5,"Posting Date",$D$7),0))</t>
  </si>
  <si>
    <t>=SUM(N42:AB42)</t>
  </si>
  <si>
    <t>=ABS(SUM(N42:AB42))</t>
  </si>
  <si>
    <t>=SUM(N32:N43)</t>
  </si>
  <si>
    <t>=SUM(Q32:Q43)</t>
  </si>
  <si>
    <t>=SUM(T32:T43)</t>
  </si>
  <si>
    <t>=SUM(W32:W43)</t>
  </si>
  <si>
    <t>=SUM(Z32:Z43)</t>
  </si>
  <si>
    <t>=SUM(AB32:AB43)</t>
  </si>
  <si>
    <t>=SUM(N44:AB44)</t>
  </si>
  <si>
    <t>=ABS(SUM(N44:AB44))</t>
  </si>
  <si>
    <t>=IF(AD45=0,"Hide","Show")</t>
  </si>
  <si>
    <t>=IF(N44&gt;0,N44,0)</t>
  </si>
  <si>
    <t>=IF(Q44&gt;0,Q44,0)</t>
  </si>
  <si>
    <t>=IF(T44&gt;0,T44,0)</t>
  </si>
  <si>
    <t>=IF(W44&gt;0,W44,0)</t>
  </si>
  <si>
    <t>=IF(Z44&gt;0,Z44,0)</t>
  </si>
  <si>
    <t>=SUM(N45:AB45)</t>
  </si>
  <si>
    <t>=ABS(SUM(N45:AB45))</t>
  </si>
  <si>
    <t>=IF(ABS(SUM(AC46:AC48))=0,"Hide","Show")</t>
  </si>
  <si>
    <t>=IF(AD47=0,"Hide","Show")</t>
  </si>
  <si>
    <t>=NL("Rows","G/L Entry","G/L Account No.","G/L Account No.",$D$46,"Fund No.",$D$8,"Company=",$D$4,"Posting Date",$D$7,"Transaction Type",$D$5)</t>
  </si>
  <si>
    <t>=IF($G47="","",IF(LEFT(NL("Rows","G/L Account","Name","No.",$G47,"Company=",$D$4),13)="Inventories -",TRIM(MID((NL("Rows","G/L Account","Name","No.",$G47,"Company=",$D$4)),14,50)),(NL("Rows","G/L Account","Name","No.",$G47,"Company=",$D$4))))</t>
  </si>
  <si>
    <t>=IF($F$5="YES",0,ROUND(NL("SUM","G/L Entry","Amount","G/L Account No.","@@"&amp;$G47,"Fund No.","@@"&amp;M$15,"Company=",$D$4,"Transaction Type",$D$5,"Posting Date",$D$7),0))</t>
  </si>
  <si>
    <t>=IF($F$5="YES",0,ROUND(NL("SUM","G/L Entry","Amount","G/L Account No.","@@"&amp;$G47,"Fund No.","@@"&amp;P$15,"Company=",$D$4,"Transaction Type",$D$5,"Posting Date",$D$7),0))</t>
  </si>
  <si>
    <t>=IF($F$5="YES",0,ROUND(NL("SUM","G/L Entry","Amount","G/L Account No.","@@"&amp;$G47,"Fund No.","@@"&amp;S$15,"Company=",$D$4,"Transaction Type",$D$5,"Posting Date",$D$7),0))</t>
  </si>
  <si>
    <t>=IF($F$5="YES",0,ROUND(NL("SUM","G/L Entry","Amount","G/L Account No.","@@"&amp;$G47,"Fund No.","@@"&amp;V$15,"Company=",$D$4,"Transaction Type",$D$5,"Posting Date",$D$7),0))</t>
  </si>
  <si>
    <t>=IF($F$5="YES",0,ROUND(NL("SUM","G/L Entry","Amount","G/L Account No.","@@"&amp;$G47,"Fund No.","@@"&amp;Y$15,"Company=",$D$4,"Transaction Type",$D$5,"Posting Date",$D$7),0))</t>
  </si>
  <si>
    <t>=SUM(N47:AB47)</t>
  </si>
  <si>
    <t>=ABS(SUM(N47:AB47))</t>
  </si>
  <si>
    <t>=IF(ABS(SUM(AC48:AC63))=0,"Hide","Show")</t>
  </si>
  <si>
    <t>=IF(AD49=0,"Hide","Show")</t>
  </si>
  <si>
    <t>=NL("Rows","Dimension Value","Code","+Name","*","Code",$F$48,"Dimension Code",$F$6,"Company=",$D$4,"Link=","G/L Entry","Global Dimension 2 Code","=Code","G/L Account No.",$D$48,"Company=",$D$4,"Posting Date",$D$7,"Fund No.",$D$8)</t>
  </si>
  <si>
    <t>=IF($G49="","",IF(LEFT(NL("Rows","Dimension Value","Name","Code",$G49,"Dimension Code",$F$6,"Company=",$D$4),12)="Investments-",TRIM(MID(NL("Rows","Dimension Value","Name","Code",$G49,"Dimension Code",$F$6,"Company=",$D$4),13,50)),NL("Rows","Dimension Value","Name","Code",$G49,"Dimension Code",$F$6,"Company=",$D$4)))</t>
  </si>
  <si>
    <t>=IF($F$5="yes",0,ROUND(NL("SUM","G/L Entry","Amount","G/L Account No.",$D$48,"Global Dimension 2 Code","@@"&amp;$G49,"Fund No.","@@"&amp;M$15,"Company=",$D$4,"Transaction Type",$D$5,"Posting Date",$D$7),0))</t>
  </si>
  <si>
    <t>=IF($F$5="yes",0,ROUND(NL("SUM","G/L Entry","Amount","G/L Account No.",$D$48,"Global Dimension 2 Code","@@"&amp;$G49,"Fund No.","@@"&amp;P$15,"Company=",$D$4,"Transaction Type",$D$5,"Posting Date",$D$7),0))</t>
  </si>
  <si>
    <t>=IF($F$5="yes",0,ROUND(NL("SUM","G/L Entry","Amount","G/L Account No.",$D$48,"Global Dimension 2 Code","@@"&amp;$G49,"Fund No.","@@"&amp;S$15,"Company=",$D$4,"Transaction Type",$D$5,"Posting Date",$D$7),0))</t>
  </si>
  <si>
    <t>=IF($F$5="yes",0,ROUND(NL("SUM","G/L Entry","Amount","G/L Account No.",$D$48,"Global Dimension 2 Code","@@"&amp;$G49,"Fund No.","@@"&amp;V$15,"Company=",$D$4,"Transaction Type",$D$5,"Posting Date",$D$7),0))</t>
  </si>
  <si>
    <t>=IF($F$5="yes",0,ROUND(NL("SUM","G/L Entry","Amount","G/L Account No.",$D$48,"Global Dimension 2 Code","@@"&amp;$G49,"Fund No.","@@"&amp;Y$15,"Company=",$D$4,"Transaction Type",$D$5,"Posting Date",$D$7),0))</t>
  </si>
  <si>
    <t>=SUM(N49:AB49)</t>
  </si>
  <si>
    <t>=ABS(SUM(N49:AB49))</t>
  </si>
  <si>
    <t>=IF(AD50=0,"Hide","Show")</t>
  </si>
  <si>
    <t>="1086"</t>
  </si>
  <si>
    <t>=IF($G50="","",IF(LEFT(NL("Rows","Dimension Value","Name","Code",$G50,"Dimension Code",$F$6,"Company=",$D$4),12)="Investments-",TRIM(MID(NL("Rows","Dimension Value","Name","Code",$G50,"Dimension Code",$F$6,"Company=",$D$4),13,50)),NL("Rows","Dimension Value","Name","Code",$G50,"Dimension Code",$F$6,"Company=",$D$4)))</t>
  </si>
  <si>
    <t>=IF($F$5="yes",0,ROUND(NL("SUM","G/L Entry","Amount","G/L Account No.",$D$48,"Global Dimension 2 Code","@@"&amp;$G50,"Fund No.","@@"&amp;M$15,"Company=",$D$4,"Transaction Type",$D$5,"Posting Date",$D$7),0))</t>
  </si>
  <si>
    <t>=IF($F$5="yes",0,ROUND(NL("SUM","G/L Entry","Amount","G/L Account No.",$D$48,"Global Dimension 2 Code","@@"&amp;$G50,"Fund No.","@@"&amp;P$15,"Company=",$D$4,"Transaction Type",$D$5,"Posting Date",$D$7),0))</t>
  </si>
  <si>
    <t>=IF($F$5="yes",0,ROUND(NL("SUM","G/L Entry","Amount","G/L Account No.",$D$48,"Global Dimension 2 Code","@@"&amp;$G50,"Fund No.","@@"&amp;S$15,"Company=",$D$4,"Transaction Type",$D$5,"Posting Date",$D$7),0))</t>
  </si>
  <si>
    <t>=IF($F$5="yes",0,ROUND(NL("SUM","G/L Entry","Amount","G/L Account No.",$D$48,"Global Dimension 2 Code","@@"&amp;$G50,"Fund No.","@@"&amp;V$15,"Company=",$D$4,"Transaction Type",$D$5,"Posting Date",$D$7),0))</t>
  </si>
  <si>
    <t>=IF($F$5="yes",0,ROUND(NL("SUM","G/L Entry","Amount","G/L Account No.",$D$48,"Global Dimension 2 Code","@@"&amp;$G50,"Fund No.","@@"&amp;Y$15,"Company=",$D$4,"Transaction Type",$D$5,"Posting Date",$D$7),0))</t>
  </si>
  <si>
    <t>=SUM(N50:AB50)</t>
  </si>
  <si>
    <t>=ABS(SUM(N50:AB50))</t>
  </si>
  <si>
    <t>=IF(AD51=0,"Hide","Show")</t>
  </si>
  <si>
    <t>="1105"</t>
  </si>
  <si>
    <t>=IF($G51="","",IF(LEFT(NL("Rows","Dimension Value","Name","Code",$G51,"Dimension Code",$F$6,"Company=",$D$4),12)="Investments-",TRIM(MID(NL("Rows","Dimension Value","Name","Code",$G51,"Dimension Code",$F$6,"Company=",$D$4),13,50)),NL("Rows","Dimension Value","Name","Code",$G51,"Dimension Code",$F$6,"Company=",$D$4)))</t>
  </si>
  <si>
    <t>=IF($F$5="yes",0,ROUND(NL("SUM","G/L Entry","Amount","G/L Account No.",$D$48,"Global Dimension 2 Code","@@"&amp;$G51,"Fund No.","@@"&amp;M$15,"Company=",$D$4,"Transaction Type",$D$5,"Posting Date",$D$7),0))</t>
  </si>
  <si>
    <t>=IF($F$5="yes",0,ROUND(NL("SUM","G/L Entry","Amount","G/L Account No.",$D$48,"Global Dimension 2 Code","@@"&amp;$G51,"Fund No.","@@"&amp;P$15,"Company=",$D$4,"Transaction Type",$D$5,"Posting Date",$D$7),0))</t>
  </si>
  <si>
    <t>=IF($F$5="yes",0,ROUND(NL("SUM","G/L Entry","Amount","G/L Account No.",$D$48,"Global Dimension 2 Code","@@"&amp;$G51,"Fund No.","@@"&amp;S$15,"Company=",$D$4,"Transaction Type",$D$5,"Posting Date",$D$7),0))</t>
  </si>
  <si>
    <t>=IF($F$5="yes",0,ROUND(NL("SUM","G/L Entry","Amount","G/L Account No.",$D$48,"Global Dimension 2 Code","@@"&amp;$G51,"Fund No.","@@"&amp;V$15,"Company=",$D$4,"Transaction Type",$D$5,"Posting Date",$D$7),0))</t>
  </si>
  <si>
    <t>=IF($F$5="yes",0,ROUND(NL("SUM","G/L Entry","Amount","G/L Account No.",$D$48,"Global Dimension 2 Code","@@"&amp;$G51,"Fund No.","@@"&amp;Y$15,"Company=",$D$4,"Transaction Type",$D$5,"Posting Date",$D$7),0))</t>
  </si>
  <si>
    <t>=SUM(N51:AB51)</t>
  </si>
  <si>
    <t>=ABS(SUM(N51:AB51))</t>
  </si>
  <si>
    <t>=IF(AD52=0,"Hide","Show")</t>
  </si>
  <si>
    <t>="1108"</t>
  </si>
  <si>
    <t>=IF($G52="","",IF(LEFT(NL("Rows","Dimension Value","Name","Code",$G52,"Dimension Code",$F$6,"Company=",$D$4),12)="Investments-",TRIM(MID(NL("Rows","Dimension Value","Name","Code",$G52,"Dimension Code",$F$6,"Company=",$D$4),13,50)),NL("Rows","Dimension Value","Name","Code",$G52,"Dimension Code",$F$6,"Company=",$D$4)))</t>
  </si>
  <si>
    <t>=IF($F$5="yes",0,ROUND(NL("SUM","G/L Entry","Amount","G/L Account No.",$D$48,"Global Dimension 2 Code","@@"&amp;$G52,"Fund No.","@@"&amp;M$15,"Company=",$D$4,"Transaction Type",$D$5,"Posting Date",$D$7),0))</t>
  </si>
  <si>
    <t>=IF($F$5="yes",0,ROUND(NL("SUM","G/L Entry","Amount","G/L Account No.",$D$48,"Global Dimension 2 Code","@@"&amp;$G52,"Fund No.","@@"&amp;P$15,"Company=",$D$4,"Transaction Type",$D$5,"Posting Date",$D$7),0))</t>
  </si>
  <si>
    <t>=IF($F$5="yes",0,ROUND(NL("SUM","G/L Entry","Amount","G/L Account No.",$D$48,"Global Dimension 2 Code","@@"&amp;$G52,"Fund No.","@@"&amp;S$15,"Company=",$D$4,"Transaction Type",$D$5,"Posting Date",$D$7),0))</t>
  </si>
  <si>
    <t>=IF($F$5="yes",0,ROUND(NL("SUM","G/L Entry","Amount","G/L Account No.",$D$48,"Global Dimension 2 Code","@@"&amp;$G52,"Fund No.","@@"&amp;V$15,"Company=",$D$4,"Transaction Type",$D$5,"Posting Date",$D$7),0))</t>
  </si>
  <si>
    <t>=IF($F$5="yes",0,ROUND(NL("SUM","G/L Entry","Amount","G/L Account No.",$D$48,"Global Dimension 2 Code","@@"&amp;$G52,"Fund No.","@@"&amp;Y$15,"Company=",$D$4,"Transaction Type",$D$5,"Posting Date",$D$7),0))</t>
  </si>
  <si>
    <t>=SUM(N52:AB52)</t>
  </si>
  <si>
    <t>=ABS(SUM(N52:AB52))</t>
  </si>
  <si>
    <t>=IF(AD53=0,"Hide","Show")</t>
  </si>
  <si>
    <t>="1103"</t>
  </si>
  <si>
    <t>=IF($G53="","",IF(LEFT(NL("Rows","Dimension Value","Name","Code",$G53,"Dimension Code",$F$6,"Company=",$D$4),12)="Investments-",TRIM(MID(NL("Rows","Dimension Value","Name","Code",$G53,"Dimension Code",$F$6,"Company=",$D$4),13,50)),NL("Rows","Dimension Value","Name","Code",$G53,"Dimension Code",$F$6,"Company=",$D$4)))</t>
  </si>
  <si>
    <t>=IF($F$5="yes",0,ROUND(NL("SUM","G/L Entry","Amount","G/L Account No.",$D$48,"Global Dimension 2 Code","@@"&amp;$G53,"Fund No.","@@"&amp;M$15,"Company=",$D$4,"Transaction Type",$D$5,"Posting Date",$D$7),0))</t>
  </si>
  <si>
    <t>=IF($F$5="yes",0,ROUND(NL("SUM","G/L Entry","Amount","G/L Account No.",$D$48,"Global Dimension 2 Code","@@"&amp;$G53,"Fund No.","@@"&amp;P$15,"Company=",$D$4,"Transaction Type",$D$5,"Posting Date",$D$7),0))</t>
  </si>
  <si>
    <t>=IF($F$5="yes",0,ROUND(NL("SUM","G/L Entry","Amount","G/L Account No.",$D$48,"Global Dimension 2 Code","@@"&amp;$G53,"Fund No.","@@"&amp;S$15,"Company=",$D$4,"Transaction Type",$D$5,"Posting Date",$D$7),0))</t>
  </si>
  <si>
    <t>=IF($F$5="yes",0,ROUND(NL("SUM","G/L Entry","Amount","G/L Account No.",$D$48,"Global Dimension 2 Code","@@"&amp;$G53,"Fund No.","@@"&amp;V$15,"Company=",$D$4,"Transaction Type",$D$5,"Posting Date",$D$7),0))</t>
  </si>
  <si>
    <t>=IF($F$5="yes",0,ROUND(NL("SUM","G/L Entry","Amount","G/L Account No.",$D$48,"Global Dimension 2 Code","@@"&amp;$G53,"Fund No.","@@"&amp;Y$15,"Company=",$D$4,"Transaction Type",$D$5,"Posting Date",$D$7),0))</t>
  </si>
  <si>
    <t>=SUM(N53:AB53)</t>
  </si>
  <si>
    <t>=ABS(SUM(N53:AB53))</t>
  </si>
  <si>
    <t>=IF(AD54=0,"Hide","Show")</t>
  </si>
  <si>
    <t>="1088"</t>
  </si>
  <si>
    <t>=IF($G54="","",IF(LEFT(NL("Rows","Dimension Value","Name","Code",$G54,"Dimension Code",$F$6,"Company=",$D$4),12)="Investments-",TRIM(MID(NL("Rows","Dimension Value","Name","Code",$G54,"Dimension Code",$F$6,"Company=",$D$4),13,50)),NL("Rows","Dimension Value","Name","Code",$G54,"Dimension Code",$F$6,"Company=",$D$4)))</t>
  </si>
  <si>
    <t>=IF($F$5="yes",0,ROUND(NL("SUM","G/L Entry","Amount","G/L Account No.",$D$48,"Global Dimension 2 Code","@@"&amp;$G54,"Fund No.","@@"&amp;M$15,"Company=",$D$4,"Transaction Type",$D$5,"Posting Date",$D$7),0))</t>
  </si>
  <si>
    <t>=IF($F$5="yes",0,ROUND(NL("SUM","G/L Entry","Amount","G/L Account No.",$D$48,"Global Dimension 2 Code","@@"&amp;$G54,"Fund No.","@@"&amp;P$15,"Company=",$D$4,"Transaction Type",$D$5,"Posting Date",$D$7),0))</t>
  </si>
  <si>
    <t>=IF($F$5="yes",0,ROUND(NL("SUM","G/L Entry","Amount","G/L Account No.",$D$48,"Global Dimension 2 Code","@@"&amp;$G54,"Fund No.","@@"&amp;S$15,"Company=",$D$4,"Transaction Type",$D$5,"Posting Date",$D$7),0))</t>
  </si>
  <si>
    <t>=IF($F$5="yes",0,ROUND(NL("SUM","G/L Entry","Amount","G/L Account No.",$D$48,"Global Dimension 2 Code","@@"&amp;$G54,"Fund No.","@@"&amp;V$15,"Company=",$D$4,"Transaction Type",$D$5,"Posting Date",$D$7),0))</t>
  </si>
  <si>
    <t>=IF($F$5="yes",0,ROUND(NL("SUM","G/L Entry","Amount","G/L Account No.",$D$48,"Global Dimension 2 Code","@@"&amp;$G54,"Fund No.","@@"&amp;Y$15,"Company=",$D$4,"Transaction Type",$D$5,"Posting Date",$D$7),0))</t>
  </si>
  <si>
    <t>=SUM(N54:AB54)</t>
  </si>
  <si>
    <t>=ABS(SUM(N54:AB54))</t>
  </si>
  <si>
    <t>=IF(AD56=0,"Hide","Show")</t>
  </si>
  <si>
    <t>=NL("Rows","Dimension Value","Code","+Name","*","Code",$F$55,"Dimension Code",$F$6,"Company=",$D$4,"Link=","G/L Entry","Global Dimension 2 Code","=Code","G/L Account No.",$D$48,"Company=",$D$4,"Posting Date",$D$7,"Fund No.",$D$8)</t>
  </si>
  <si>
    <t>=IF($G56="","",IF(LEFT(NL("Rows","Dimension Value","Name","Code",$G56,"Dimension Code",$F$6,"Company=",$D$4),12)="Investments-",TRIM(MID(NL("Rows","Dimension Value","Name","Code",$G56,"Dimension Code",$F$6,"Company=",$D$4),13,50)),NL("Rows","Dimension Value","Name","Code",$G56,"Dimension Code",$F$6,"Company=",$D$4)))</t>
  </si>
  <si>
    <t>=IF($F$5="YES",0,ROUND(NL("SUM","G/L Entry","Amount","G/L Account No.",$D$48,"Global Dimension 2 Code","@@"&amp;$G56,"Fund No.","@@"&amp;M$15,"Company=",$D$4,"Transaction Type",$D$5,"Posting Date",$D$7),0))</t>
  </si>
  <si>
    <t>=IF($F$5="YES",0,ROUND(NL("SUM","G/L Entry","Amount","G/L Account No.",$D$48,"Global Dimension 2 Code","@@"&amp;$G56,"Fund No.","@@"&amp;P$15,"Company=",$D$4,"Transaction Type",$D$5,"Posting Date",$D$7),0))</t>
  </si>
  <si>
    <t>=IF($F$5="YES",0,ROUND(NL("SUM","G/L Entry","Amount","G/L Account No.",$D$48,"Global Dimension 2 Code","@@"&amp;$G56,"Fund No.","@@"&amp;S$15,"Company=",$D$4,"Transaction Type",$D$5,"Posting Date",$D$7),0))</t>
  </si>
  <si>
    <t>=IF($F$5="YES",0,ROUND(NL("SUM","G/L Entry","Amount","G/L Account No.",$D$48,"Global Dimension 2 Code","@@"&amp;$G56,"Fund No.","@@"&amp;V$15,"Company=",$D$4,"Transaction Type",$D$5,"Posting Date",$D$7),0))</t>
  </si>
  <si>
    <t>=IF($F$5="YES",0,ROUND(NL("SUM","G/L Entry","Amount","G/L Account No.",$D$48,"Global Dimension 2 Code","@@"&amp;$G56,"Fund No.","@@"&amp;Y$15,"Company=",$D$4,"Transaction Type",$D$5,"Posting Date",$D$7),0))</t>
  </si>
  <si>
    <t>=SUM(N56:AB56)</t>
  </si>
  <si>
    <t>=ABS(SUM(N56:AB56))</t>
  </si>
  <si>
    <t>=IF(AD57=0,"Hide","Show")</t>
  </si>
  <si>
    <t>="1021"</t>
  </si>
  <si>
    <t>=IF($G57="","",IF(LEFT(NL("Rows","Dimension Value","Name","Code",$G57,"Dimension Code",$F$6,"Company=",$D$4),12)="Investments-",TRIM(MID(NL("Rows","Dimension Value","Name","Code",$G57,"Dimension Code",$F$6,"Company=",$D$4),13,50)),NL("Rows","Dimension Value","Name","Code",$G57,"Dimension Code",$F$6,"Company=",$D$4)))</t>
  </si>
  <si>
    <t>=IF($F$5="YES",0,ROUND(NL("SUM","G/L Entry","Amount","G/L Account No.",$D$48,"Global Dimension 2 Code","@@"&amp;$G57,"Fund No.","@@"&amp;M$15,"Company=",$D$4,"Transaction Type",$D$5,"Posting Date",$D$7),0))</t>
  </si>
  <si>
    <t>=IF($F$5="YES",0,ROUND(NL("SUM","G/L Entry","Amount","G/L Account No.",$D$48,"Global Dimension 2 Code","@@"&amp;$G57,"Fund No.","@@"&amp;P$15,"Company=",$D$4,"Transaction Type",$D$5,"Posting Date",$D$7),0))</t>
  </si>
  <si>
    <t>=IF($F$5="YES",0,ROUND(NL("SUM","G/L Entry","Amount","G/L Account No.",$D$48,"Global Dimension 2 Code","@@"&amp;$G57,"Fund No.","@@"&amp;S$15,"Company=",$D$4,"Transaction Type",$D$5,"Posting Date",$D$7),0))</t>
  </si>
  <si>
    <t>=IF($F$5="YES",0,ROUND(NL("SUM","G/L Entry","Amount","G/L Account No.",$D$48,"Global Dimension 2 Code","@@"&amp;$G57,"Fund No.","@@"&amp;V$15,"Company=",$D$4,"Transaction Type",$D$5,"Posting Date",$D$7),0))</t>
  </si>
  <si>
    <t>=IF($F$5="YES",0,ROUND(NL("SUM","G/L Entry","Amount","G/L Account No.",$D$48,"Global Dimension 2 Code","@@"&amp;$G57,"Fund No.","@@"&amp;Y$15,"Company=",$D$4,"Transaction Type",$D$5,"Posting Date",$D$7),0))</t>
  </si>
  <si>
    <t>=SUM(N57:AB57)</t>
  </si>
  <si>
    <t>=ABS(SUM(N57:AB57))</t>
  </si>
  <si>
    <t>=IF(AD58=0,"Hide","Show")</t>
  </si>
  <si>
    <t>="1029"</t>
  </si>
  <si>
    <t>=IF($G58="","",IF(LEFT(NL("Rows","Dimension Value","Name","Code",$G58,"Dimension Code",$F$6,"Company=",$D$4),12)="Investments-",TRIM(MID(NL("Rows","Dimension Value","Name","Code",$G58,"Dimension Code",$F$6,"Company=",$D$4),13,50)),NL("Rows","Dimension Value","Name","Code",$G58,"Dimension Code",$F$6,"Company=",$D$4)))</t>
  </si>
  <si>
    <t>=IF($F$5="YES",0,ROUND(NL("SUM","G/L Entry","Amount","G/L Account No.",$D$48,"Global Dimension 2 Code","@@"&amp;$G58,"Fund No.","@@"&amp;M$15,"Company=",$D$4,"Transaction Type",$D$5,"Posting Date",$D$7),0))</t>
  </si>
  <si>
    <t>=IF($F$5="YES",0,ROUND(NL("SUM","G/L Entry","Amount","G/L Account No.",$D$48,"Global Dimension 2 Code","@@"&amp;$G58,"Fund No.","@@"&amp;P$15,"Company=",$D$4,"Transaction Type",$D$5,"Posting Date",$D$7),0))</t>
  </si>
  <si>
    <t>=IF($F$5="YES",0,ROUND(NL("SUM","G/L Entry","Amount","G/L Account No.",$D$48,"Global Dimension 2 Code","@@"&amp;$G58,"Fund No.","@@"&amp;S$15,"Company=",$D$4,"Transaction Type",$D$5,"Posting Date",$D$7),0))</t>
  </si>
  <si>
    <t>=IF($F$5="YES",0,ROUND(NL("SUM","G/L Entry","Amount","G/L Account No.",$D$48,"Global Dimension 2 Code","@@"&amp;$G58,"Fund No.","@@"&amp;V$15,"Company=",$D$4,"Transaction Type",$D$5,"Posting Date",$D$7),0))</t>
  </si>
  <si>
    <t>=IF($F$5="YES",0,ROUND(NL("SUM","G/L Entry","Amount","G/L Account No.",$D$48,"Global Dimension 2 Code","@@"&amp;$G58,"Fund No.","@@"&amp;Y$15,"Company=",$D$4,"Transaction Type",$D$5,"Posting Date",$D$7),0))</t>
  </si>
  <si>
    <t>=SUM(N58:AB58)</t>
  </si>
  <si>
    <t>=ABS(SUM(N58:AB58))</t>
  </si>
  <si>
    <t>=IF(AD59=0,"Hide","Show")</t>
  </si>
  <si>
    <t>="1038"</t>
  </si>
  <si>
    <t>=IF($G59="","",IF(LEFT(NL("Rows","Dimension Value","Name","Code",$G59,"Dimension Code",$F$6,"Company=",$D$4),12)="Investments-",TRIM(MID(NL("Rows","Dimension Value","Name","Code",$G59,"Dimension Code",$F$6,"Company=",$D$4),13,50)),NL("Rows","Dimension Value","Name","Code",$G59,"Dimension Code",$F$6,"Company=",$D$4)))</t>
  </si>
  <si>
    <t>=IF($F$5="YES",0,ROUND(NL("SUM","G/L Entry","Amount","G/L Account No.",$D$48,"Global Dimension 2 Code","@@"&amp;$G59,"Fund No.","@@"&amp;M$15,"Company=",$D$4,"Transaction Type",$D$5,"Posting Date",$D$7),0))</t>
  </si>
  <si>
    <t>=IF($F$5="YES",0,ROUND(NL("SUM","G/L Entry","Amount","G/L Account No.",$D$48,"Global Dimension 2 Code","@@"&amp;$G59,"Fund No.","@@"&amp;P$15,"Company=",$D$4,"Transaction Type",$D$5,"Posting Date",$D$7),0))</t>
  </si>
  <si>
    <t>=IF($F$5="YES",0,ROUND(NL("SUM","G/L Entry","Amount","G/L Account No.",$D$48,"Global Dimension 2 Code","@@"&amp;$G59,"Fund No.","@@"&amp;S$15,"Company=",$D$4,"Transaction Type",$D$5,"Posting Date",$D$7),0))</t>
  </si>
  <si>
    <t>=IF($F$5="YES",0,ROUND(NL("SUM","G/L Entry","Amount","G/L Account No.",$D$48,"Global Dimension 2 Code","@@"&amp;$G59,"Fund No.","@@"&amp;V$15,"Company=",$D$4,"Transaction Type",$D$5,"Posting Date",$D$7),0))</t>
  </si>
  <si>
    <t>=IF($F$5="YES",0,ROUND(NL("SUM","G/L Entry","Amount","G/L Account No.",$D$48,"Global Dimension 2 Code","@@"&amp;$G59,"Fund No.","@@"&amp;Y$15,"Company=",$D$4,"Transaction Type",$D$5,"Posting Date",$D$7),0))</t>
  </si>
  <si>
    <t>=SUM(N59:AB59)</t>
  </si>
  <si>
    <t>=ABS(SUM(N59:AB59))</t>
  </si>
  <si>
    <t>=IF(AD60=0,"Hide","Show")</t>
  </si>
  <si>
    <t>="1053"</t>
  </si>
  <si>
    <t>=IF($G60="","",IF(LEFT(NL("Rows","Dimension Value","Name","Code",$G60,"Dimension Code",$F$6,"Company=",$D$4),12)="Investments-",TRIM(MID(NL("Rows","Dimension Value","Name","Code",$G60,"Dimension Code",$F$6,"Company=",$D$4),13,50)),NL("Rows","Dimension Value","Name","Code",$G60,"Dimension Code",$F$6,"Company=",$D$4)))</t>
  </si>
  <si>
    <t>=IF($F$5="YES",0,ROUND(NL("SUM","G/L Entry","Amount","G/L Account No.",$D$48,"Global Dimension 2 Code","@@"&amp;$G60,"Fund No.","@@"&amp;M$15,"Company=",$D$4,"Transaction Type",$D$5,"Posting Date",$D$7),0))</t>
  </si>
  <si>
    <t>=IF($F$5="YES",0,ROUND(NL("SUM","G/L Entry","Amount","G/L Account No.",$D$48,"Global Dimension 2 Code","@@"&amp;$G60,"Fund No.","@@"&amp;P$15,"Company=",$D$4,"Transaction Type",$D$5,"Posting Date",$D$7),0))</t>
  </si>
  <si>
    <t>=IF($F$5="YES",0,ROUND(NL("SUM","G/L Entry","Amount","G/L Account No.",$D$48,"Global Dimension 2 Code","@@"&amp;$G60,"Fund No.","@@"&amp;S$15,"Company=",$D$4,"Transaction Type",$D$5,"Posting Date",$D$7),0))</t>
  </si>
  <si>
    <t>=IF($F$5="YES",0,ROUND(NL("SUM","G/L Entry","Amount","G/L Account No.",$D$48,"Global Dimension 2 Code","@@"&amp;$G60,"Fund No.","@@"&amp;V$15,"Company=",$D$4,"Transaction Type",$D$5,"Posting Date",$D$7),0))</t>
  </si>
  <si>
    <t>=IF($F$5="YES",0,ROUND(NL("SUM","G/L Entry","Amount","G/L Account No.",$D$48,"Global Dimension 2 Code","@@"&amp;$G60,"Fund No.","@@"&amp;Y$15,"Company=",$D$4,"Transaction Type",$D$5,"Posting Date",$D$7),0))</t>
  </si>
  <si>
    <t>=SUM(N60:AB60)</t>
  </si>
  <si>
    <t>=ABS(SUM(N60:AB60))</t>
  </si>
  <si>
    <t>=IF(AD61=0,"Hide","Show")</t>
  </si>
  <si>
    <t>="1060"</t>
  </si>
  <si>
    <t>=IF($G61="","",IF(LEFT(NL("Rows","Dimension Value","Name","Code",$G61,"Dimension Code",$F$6,"Company=",$D$4),12)="Investments-",TRIM(MID(NL("Rows","Dimension Value","Name","Code",$G61,"Dimension Code",$F$6,"Company=",$D$4),13,50)),NL("Rows","Dimension Value","Name","Code",$G61,"Dimension Code",$F$6,"Company=",$D$4)))</t>
  </si>
  <si>
    <t>=IF($F$5="YES",0,ROUND(NL("SUM","G/L Entry","Amount","G/L Account No.",$D$48,"Global Dimension 2 Code","@@"&amp;$G61,"Fund No.","@@"&amp;M$15,"Company=",$D$4,"Transaction Type",$D$5,"Posting Date",$D$7),0))</t>
  </si>
  <si>
    <t>=IF($F$5="YES",0,ROUND(NL("SUM","G/L Entry","Amount","G/L Account No.",$D$48,"Global Dimension 2 Code","@@"&amp;$G61,"Fund No.","@@"&amp;P$15,"Company=",$D$4,"Transaction Type",$D$5,"Posting Date",$D$7),0))</t>
  </si>
  <si>
    <t>=IF($F$5="YES",0,ROUND(NL("SUM","G/L Entry","Amount","G/L Account No.",$D$48,"Global Dimension 2 Code","@@"&amp;$G61,"Fund No.","@@"&amp;S$15,"Company=",$D$4,"Transaction Type",$D$5,"Posting Date",$D$7),0))</t>
  </si>
  <si>
    <t>=IF($F$5="YES",0,ROUND(NL("SUM","G/L Entry","Amount","G/L Account No.",$D$48,"Global Dimension 2 Code","@@"&amp;$G61,"Fund No.","@@"&amp;V$15,"Company=",$D$4,"Transaction Type",$D$5,"Posting Date",$D$7),0))</t>
  </si>
  <si>
    <t>=IF($F$5="YES",0,ROUND(NL("SUM","G/L Entry","Amount","G/L Account No.",$D$48,"Global Dimension 2 Code","@@"&amp;$G61,"Fund No.","@@"&amp;Y$15,"Company=",$D$4,"Transaction Type",$D$5,"Posting Date",$D$7),0))</t>
  </si>
  <si>
    <t>=SUM(N61:AB61)</t>
  </si>
  <si>
    <t>=ABS(SUM(N61:AB61))</t>
  </si>
  <si>
    <t>=IF(AD62=0,"Hide","Show")</t>
  </si>
  <si>
    <t>="1066"</t>
  </si>
  <si>
    <t>=IF($G62="","",IF(LEFT(NL("Rows","Dimension Value","Name","Code",$G62,"Dimension Code",$F$6,"Company=",$D$4),12)="Investments-",TRIM(MID(NL("Rows","Dimension Value","Name","Code",$G62,"Dimension Code",$F$6,"Company=",$D$4),13,50)),NL("Rows","Dimension Value","Name","Code",$G62,"Dimension Code",$F$6,"Company=",$D$4)))</t>
  </si>
  <si>
    <t>=IF($F$5="YES",0,ROUND(NL("SUM","G/L Entry","Amount","G/L Account No.",$D$48,"Global Dimension 2 Code","@@"&amp;$G62,"Fund No.","@@"&amp;M$15,"Company=",$D$4,"Transaction Type",$D$5,"Posting Date",$D$7),0))</t>
  </si>
  <si>
    <t>=IF($F$5="YES",0,ROUND(NL("SUM","G/L Entry","Amount","G/L Account No.",$D$48,"Global Dimension 2 Code","@@"&amp;$G62,"Fund No.","@@"&amp;P$15,"Company=",$D$4,"Transaction Type",$D$5,"Posting Date",$D$7),0))</t>
  </si>
  <si>
    <t>=IF($F$5="YES",0,ROUND(NL("SUM","G/L Entry","Amount","G/L Account No.",$D$48,"Global Dimension 2 Code","@@"&amp;$G62,"Fund No.","@@"&amp;S$15,"Company=",$D$4,"Transaction Type",$D$5,"Posting Date",$D$7),0))</t>
  </si>
  <si>
    <t>=IF($F$5="YES",0,ROUND(NL("SUM","G/L Entry","Amount","G/L Account No.",$D$48,"Global Dimension 2 Code","@@"&amp;$G62,"Fund No.","@@"&amp;V$15,"Company=",$D$4,"Transaction Type",$D$5,"Posting Date",$D$7),0))</t>
  </si>
  <si>
    <t>=IF($F$5="YES",0,ROUND(NL("SUM","G/L Entry","Amount","G/L Account No.",$D$48,"Global Dimension 2 Code","@@"&amp;$G62,"Fund No.","@@"&amp;Y$15,"Company=",$D$4,"Transaction Type",$D$5,"Posting Date",$D$7),0))</t>
  </si>
  <si>
    <t>=SUM(N62:AB62)</t>
  </si>
  <si>
    <t>=ABS(SUM(N62:AB62))</t>
  </si>
  <si>
    <t>=IF(AD64=0,"Hide","Show")</t>
  </si>
  <si>
    <t>=IF($G64="","",NL("Rows","G/L Account","Name","No.",$G64,"Company=",$D$4))</t>
  </si>
  <si>
    <t>=IF($F$5="YES",0,ROUND(NL("SUM","G/L Entry","Amount","G/L Account No.","@@"&amp;$G64,"Fund No.","@@"&amp;M$15,"Company=",$D$4,"Transaction Type",$D$5,"Posting Date",$D$7),0))</t>
  </si>
  <si>
    <t>=IF($F$5="YES",0,ROUND(NL("SUM","G/L Entry","Amount","G/L Account No.","@@"&amp;$G64,"Fund No.","@@"&amp;P$15,"Company=",$D$4,"Transaction Type",$D$5,"Posting Date",$D$7),0))</t>
  </si>
  <si>
    <t>=IF($F$5="YES",0,ROUND(NL("SUM","G/L Entry","Amount","G/L Account No.","@@"&amp;$G64,"Fund No.","@@"&amp;S$15,"Company=",$D$4,"Transaction Type",$D$5,"Posting Date",$D$7),0))</t>
  </si>
  <si>
    <t>=IF($F$5="YES",0,ROUND(NL("SUM","G/L Entry","Amount","G/L Account No.","@@"&amp;$G64,"Fund No.","@@"&amp;V$15,"Company=",$D$4,"Transaction Type",$D$5,"Posting Date",$D$7),0))</t>
  </si>
  <si>
    <t>=IF($F$5="YES",0,ROUND(NL("SUM","G/L Entry","Amount","G/L Account No.","@@"&amp;$G64,"Fund No.","@@"&amp;Y$15,"Company=",$D$4,"Transaction Type",$D$5,"Posting Date",$D$7),0))</t>
  </si>
  <si>
    <t>=SUM(N64:AB64)</t>
  </si>
  <si>
    <t>=ABS(SUM(N64:AB64))</t>
  </si>
  <si>
    <t>=IF(AD65=0,"Hide","Show")</t>
  </si>
  <si>
    <t>="152900"</t>
  </si>
  <si>
    <t>=IF($G65="","",NL("Rows","G/L Account","Name","No.",$G65,"Company=",$D$4))</t>
  </si>
  <si>
    <t>=IF($F$5="YES",0,ROUND(NL("SUM","G/L Entry","Amount","G/L Account No.","@@"&amp;$G65,"Fund No.","@@"&amp;M$15,"Company=",$D$4,"Transaction Type",$D$5,"Posting Date",$D$7),0))</t>
  </si>
  <si>
    <t>=IF($F$5="YES",0,ROUND(NL("SUM","G/L Entry","Amount","G/L Account No.","@@"&amp;$G65,"Fund No.","@@"&amp;P$15,"Company=",$D$4,"Transaction Type",$D$5,"Posting Date",$D$7),0))</t>
  </si>
  <si>
    <t>=IF($F$5="YES",0,ROUND(NL("SUM","G/L Entry","Amount","G/L Account No.","@@"&amp;$G65,"Fund No.","@@"&amp;S$15,"Company=",$D$4,"Transaction Type",$D$5,"Posting Date",$D$7),0))</t>
  </si>
  <si>
    <t>=IF($F$5="YES",0,ROUND(NL("SUM","G/L Entry","Amount","G/L Account No.","@@"&amp;$G65,"Fund No.","@@"&amp;V$15,"Company=",$D$4,"Transaction Type",$D$5,"Posting Date",$D$7),0))</t>
  </si>
  <si>
    <t>=IF($F$5="YES",0,ROUND(NL("SUM","G/L Entry","Amount","G/L Account No.","@@"&amp;$G65,"Fund No.","@@"&amp;Y$15,"Company=",$D$4,"Transaction Type",$D$5,"Posting Date",$D$7),0))</t>
  </si>
  <si>
    <t>=SUM(N65:AB65)</t>
  </si>
  <si>
    <t>=ABS(SUM(N65:AB65))</t>
  </si>
  <si>
    <t>=IF(AD66=0,"Hide","Show")</t>
  </si>
  <si>
    <t>="155000"</t>
  </si>
  <si>
    <t>=IF($G66="","",NL("Rows","G/L Account","Name","No.",$G66,"Company=",$D$4))</t>
  </si>
  <si>
    <t>=IF($F$5="YES",0,ROUND(NL("SUM","G/L Entry","Amount","G/L Account No.","@@"&amp;$G66,"Fund No.","@@"&amp;M$15,"Company=",$D$4,"Transaction Type",$D$5,"Posting Date",$D$7),0))</t>
  </si>
  <si>
    <t>=IF($F$5="YES",0,ROUND(NL("SUM","G/L Entry","Amount","G/L Account No.","@@"&amp;$G66,"Fund No.","@@"&amp;P$15,"Company=",$D$4,"Transaction Type",$D$5,"Posting Date",$D$7),0))</t>
  </si>
  <si>
    <t>=IF($F$5="YES",0,ROUND(NL("SUM","G/L Entry","Amount","G/L Account No.","@@"&amp;$G66,"Fund No.","@@"&amp;S$15,"Company=",$D$4,"Transaction Type",$D$5,"Posting Date",$D$7),0))</t>
  </si>
  <si>
    <t>=IF($F$5="YES",0,ROUND(NL("SUM","G/L Entry","Amount","G/L Account No.","@@"&amp;$G66,"Fund No.","@@"&amp;V$15,"Company=",$D$4,"Transaction Type",$D$5,"Posting Date",$D$7),0))</t>
  </si>
  <si>
    <t>=IF($F$5="YES",0,ROUND(NL("SUM","G/L Entry","Amount","G/L Account No.","@@"&amp;$G66,"Fund No.","@@"&amp;Y$15,"Company=",$D$4,"Transaction Type",$D$5,"Posting Date",$D$7),0))</t>
  </si>
  <si>
    <t>=SUM(N66:AB66)</t>
  </si>
  <si>
    <t>=ABS(SUM(N66:AB66))</t>
  </si>
  <si>
    <t>=IF(AD67=0,"Hide","Show")</t>
  </si>
  <si>
    <t>="156100"</t>
  </si>
  <si>
    <t>=IF($G67="","",NL("Rows","G/L Account","Name","No.",$G67,"Company=",$D$4))</t>
  </si>
  <si>
    <t>=IF($F$5="YES",0,ROUND(NL("SUM","G/L Entry","Amount","G/L Account No.","@@"&amp;$G67,"Fund No.","@@"&amp;M$15,"Company=",$D$4,"Transaction Type",$D$5,"Posting Date",$D$7),0))</t>
  </si>
  <si>
    <t>=IF($F$5="YES",0,ROUND(NL("SUM","G/L Entry","Amount","G/L Account No.","@@"&amp;$G67,"Fund No.","@@"&amp;P$15,"Company=",$D$4,"Transaction Type",$D$5,"Posting Date",$D$7),0))</t>
  </si>
  <si>
    <t>=IF($F$5="YES",0,ROUND(NL("SUM","G/L Entry","Amount","G/L Account No.","@@"&amp;$G67,"Fund No.","@@"&amp;S$15,"Company=",$D$4,"Transaction Type",$D$5,"Posting Date",$D$7),0))</t>
  </si>
  <si>
    <t>=IF($F$5="YES",0,ROUND(NL("SUM","G/L Entry","Amount","G/L Account No.","@@"&amp;$G67,"Fund No.","@@"&amp;V$15,"Company=",$D$4,"Transaction Type",$D$5,"Posting Date",$D$7),0))</t>
  </si>
  <si>
    <t>=IF($F$5="YES",0,ROUND(NL("SUM","G/L Entry","Amount","G/L Account No.","@@"&amp;$G67,"Fund No.","@@"&amp;Y$15,"Company=",$D$4,"Transaction Type",$D$5,"Posting Date",$D$7),0))</t>
  </si>
  <si>
    <t>=SUM(N67:AB67)</t>
  </si>
  <si>
    <t>=ABS(SUM(N67:AB67))</t>
  </si>
  <si>
    <t>=SUM(N20:N32)+SUM(N45:N68)</t>
  </si>
  <si>
    <t>=SUM(Q20:Q32)+SUM(Q45:Q68)</t>
  </si>
  <si>
    <t>=SUM(T20:T32)+SUM(T45:T68)</t>
  </si>
  <si>
    <t>=SUM(W20:W32)+SUM(W45:W68)</t>
  </si>
  <si>
    <t>=SUM(Z20:Z32)+SUM(Z45:Z68)</t>
  </si>
  <si>
    <t>=SUM(N69:AB69)</t>
  </si>
  <si>
    <t>=ABS(SUM(N69:AB69))</t>
  </si>
  <si>
    <t>=IF(SUM(AD73:AD74)=0,"Hide","Show")</t>
  </si>
  <si>
    <t>=IF(AD73=0,"Hide","Show")</t>
  </si>
  <si>
    <t>=IF($G73="","",(NL("Rows","G/L Account","Name","No.",$G73,"Company=",$D$4)))</t>
  </si>
  <si>
    <t>=IF($F$5="YES",0,ROUND(NL("SUM","G/L Entry","Amount","G/L Account No.","@@"&amp;$G73,"Fund No.","@@"&amp;M$15,"Company=",$D$4,"Transaction Type",$D$5,"Posting Date",$D$7),0))</t>
  </si>
  <si>
    <t>=IF($F$5="YES",0,ROUND(NL("SUM","G/L Entry","Amount","G/L Account No.","@@"&amp;$G73,"Fund No.","@@"&amp;P$15,"Company=",$D$4,"Transaction Type",$D$5,"Posting Date",$D$7),0))</t>
  </si>
  <si>
    <t>=IF($F$5="YES",0,ROUND(NL("SUM","G/L Entry","Amount","G/L Account No.","@@"&amp;$G73,"Fund No.","@@"&amp;S$15,"Company=",$D$4,"Transaction Type",$D$5,"Posting Date",$D$7),0))</t>
  </si>
  <si>
    <t>=IF($F$5="YES",0,ROUND(NL("SUM","G/L Entry","Amount","G/L Account No.","@@"&amp;$G73,"Fund No.","@@"&amp;V$15,"Company=",$D$4,"Transaction Type",$D$5,"Posting Date",$D$7),0))</t>
  </si>
  <si>
    <t>=IF($F$5="YES",0,ROUND(NL("SUM","G/L Entry","Amount","G/L Account No.","@@"&amp;$G73,"Fund No.","@@"&amp;Y$15,"Company=",$D$4,"Transaction Type",$D$5,"Posting Date",$D$7),0))</t>
  </si>
  <si>
    <t>=SUM(N73:AB73)</t>
  </si>
  <si>
    <t>=ABS(SUM(N73:AB73))</t>
  </si>
  <si>
    <t>=IF(AD76=0,"Hide","Show")</t>
  </si>
  <si>
    <t>=NL("Rows","G/L Entry","G/L Account No.","G/L Account No.",$D$75,"Fund No.",$D$8,"Company=",$D$4,"Posting Date",$D$7,"Transaction Type",$D$5)</t>
  </si>
  <si>
    <t>=IF($F$5="YES",0,ROUND(NL("SUM","G/L Entry","Amount","G/L Account No.","@@"&amp;$G76,"Fund No.",M$16,"Company=",$D$4,"Transaction Type",$D$5,"Posting Date",$D$7),0))</t>
  </si>
  <si>
    <t>=IF($F$5="YES",0,ROUND(NL("SUM","G/L Entry","Amount","G/L Account No.","@@"&amp;$G76,"Fund No.",P$16,"Company=",$D$4,"Transaction Type",$D$5,"Posting Date",$D$7),0))</t>
  </si>
  <si>
    <t>=IF($F$5="YES",0,ROUND(NL("SUM","G/L Entry","Amount","G/L Account No.","@@"&amp;$G76,"Fund No.",S$16,"Company=",$D$4,"Transaction Type",$D$5,"Posting Date",$D$7),0))</t>
  </si>
  <si>
    <t>=IF($F$5="YES",0,ROUND(NL("SUM","G/L Entry","Amount","G/L Account No.","@@"&amp;$G76,"Fund No.",V$16,"Company=",$D$4,"Transaction Type",$D$5,"Posting Date",$D$7),0))</t>
  </si>
  <si>
    <t>=IF($F$5="YES",0,ROUND(NL("SUM","G/L Entry","Amount","G/L Account No.","@@"&amp;$G76,"Fund No.",Y$16,"Company=",$D$4,"Transaction Type",$D$5,"Posting Date",$D$7),0))</t>
  </si>
  <si>
    <t>=SUM(N76:AB76)</t>
  </si>
  <si>
    <t>=ABS(SUM(N76:AB76))</t>
  </si>
  <si>
    <t>=IF(AD77=0,"Hide","Show")</t>
  </si>
  <si>
    <t>="156900"</t>
  </si>
  <si>
    <t>=IF($G77="","",NL("Rows","G/L Account","Name","No.",$G77,"Company=",$D$4))</t>
  </si>
  <si>
    <t>=IF($F$5="YES",0,ROUND(NL("SUM","G/L Entry","Amount","G/L Account No.","@@"&amp;$G77,"Fund No.",M$16,"Company=",$D$4,"Transaction Type",$D$5,"Posting Date",$D$7),0))</t>
  </si>
  <si>
    <t>=IF($F$5="YES",0,ROUND(NL("SUM","G/L Entry","Amount","G/L Account No.","@@"&amp;$G77,"Fund No.",P$16,"Company=",$D$4,"Transaction Type",$D$5,"Posting Date",$D$7),0))</t>
  </si>
  <si>
    <t>=IF($F$5="YES",0,ROUND(NL("SUM","G/L Entry","Amount","G/L Account No.","@@"&amp;$G77,"Fund No.",S$16,"Company=",$D$4,"Transaction Type",$D$5,"Posting Date",$D$7),0))</t>
  </si>
  <si>
    <t>=IF($F$5="YES",0,ROUND(NL("SUM","G/L Entry","Amount","G/L Account No.","@@"&amp;$G77,"Fund No.",V$16,"Company=",$D$4,"Transaction Type",$D$5,"Posting Date",$D$7),0))</t>
  </si>
  <si>
    <t>=IF($F$5="YES",0,ROUND(NL("SUM","G/L Entry","Amount","G/L Account No.","@@"&amp;$G77,"Fund No.",Y$16,"Company=",$D$4,"Transaction Type",$D$5,"Posting Date",$D$7),0))</t>
  </si>
  <si>
    <t>=SUM(N77:AB77)</t>
  </si>
  <si>
    <t>=ABS(SUM(N77:AB77))</t>
  </si>
  <si>
    <t>=SUM(N70:N78)</t>
  </si>
  <si>
    <t>=SUM(Q70:Q78)</t>
  </si>
  <si>
    <t>=SUM(T70:T78)</t>
  </si>
  <si>
    <t>=SUM(W70:W78)</t>
  </si>
  <si>
    <t>=SUM(Z70:Z78)</t>
  </si>
  <si>
    <t>=SUM(AC70:AC78)</t>
  </si>
  <si>
    <t>=ABS(SUM(N79:AB79))</t>
  </si>
  <si>
    <t>=N79+N69</t>
  </si>
  <si>
    <t>=Q79+Q69</t>
  </si>
  <si>
    <t>=T79+T69</t>
  </si>
  <si>
    <t>=W79+W69</t>
  </si>
  <si>
    <t>=Z79+Z69</t>
  </si>
  <si>
    <t>=SUM(N81:AB81)</t>
  </si>
  <si>
    <t>=ABS(SUM(N81:AB81))</t>
  </si>
  <si>
    <t>=IF(AD107=0,"Hide","Show")</t>
  </si>
  <si>
    <t>=IF($G89="","",NL("Rows","G/L Account","Name","No.",$G89,"Company=",$D$4))</t>
  </si>
  <si>
    <t>=IF($F$5="YES",0,ROUND(-NL("SUM","G/L Entry","Amount","G/L Account No.","@@"&amp;$G89,"Fund No.","@@"&amp;M$15,"Company=",$D$4,"Transaction Type",$D$5,"Posting Date",$D$7),0))</t>
  </si>
  <si>
    <t>=IF($F$5="YES",0,ROUND(-NL("SUM","G/L Entry","Amount","G/L Account No.","@@"&amp;$G89,"Fund No.","@@"&amp;P$15,"Company=",$D$4,"Transaction Type",$D$5,"Posting Date",$D$7),0))</t>
  </si>
  <si>
    <t>=IF($F$5="YES",0,ROUND(-NL("SUM","G/L Entry","Amount","G/L Account No.","@@"&amp;$G89,"Fund No.","@@"&amp;S$15,"Company=",$D$4,"Transaction Type",$D$5,"Posting Date",$D$7),0))</t>
  </si>
  <si>
    <t>=IF($F$5="YES",0,ROUND(-NL("SUM","G/L Entry","Amount","G/L Account No.","@@"&amp;$G89,"Fund No.","@@"&amp;V$15,"Company=",$D$4,"Transaction Type",$D$5,"Posting Date",$D$7),0))</t>
  </si>
  <si>
    <t>=IF($F$5="YES",0,ROUND(-NL("SUM","G/L Entry","Amount","G/L Account No.","@@"&amp;$G89,"Fund No.","@@"&amp;Y$15,"Company=",$D$4,"Transaction Type",$D$5,"Posting Date",$D$7),0))</t>
  </si>
  <si>
    <t>=SUM(N89:AB89)</t>
  </si>
  <si>
    <t>=ABS(SUM(N89:AB89))</t>
  </si>
  <si>
    <t>=IF(AD90=0,"Hide","Show")</t>
  </si>
  <si>
    <t>=NL("Rows","G/L Entry","G/L Account No.","G/L Account No.",$D$89,"Fund No.",$D$8,"Company=",$D$4,"Posting Date",$D$7,"Transaction Type",$D$5)</t>
  </si>
  <si>
    <t>=IF($G90="","",NL("Rows","G/L Account","Name","No.",$G90,"Company=",$D$4))</t>
  </si>
  <si>
    <t>=IF($F$5="YES",0,ROUND(-NL("SUM","G/L Entry","Amount","G/L Account No.","@@"&amp;$G90,"Fund No.","@@"&amp;M$15,"Company=",$D$4,"Transaction Type",$D$5,"Posting Date",$D$7),0))</t>
  </si>
  <si>
    <t>=IF($F$5="YES",0,ROUND(-NL("SUM","G/L Entry","Amount","G/L Account No.","@@"&amp;$G90,"Fund No.","@@"&amp;P$15,"Company=",$D$4,"Transaction Type",$D$5,"Posting Date",$D$7),0))</t>
  </si>
  <si>
    <t>=IF($F$5="YES",0,ROUND(-NL("SUM","G/L Entry","Amount","G/L Account No.","@@"&amp;$G90,"Fund No.","@@"&amp;S$15,"Company=",$D$4,"Transaction Type",$D$5,"Posting Date",$D$7),0))</t>
  </si>
  <si>
    <t>=IF($F$5="YES",0,ROUND(-NL("SUM","G/L Entry","Amount","G/L Account No.","@@"&amp;$G90,"Fund No.","@@"&amp;V$15,"Company=",$D$4,"Transaction Type",$D$5,"Posting Date",$D$7),0))</t>
  </si>
  <si>
    <t>=IF($F$5="YES",0,ROUND(-NL("SUM","G/L Entry","Amount","G/L Account No.","@@"&amp;$G90,"Fund No.","@@"&amp;Y$15,"Company=",$D$4,"Transaction Type",$D$5,"Posting Date",$D$7),0))</t>
  </si>
  <si>
    <t>=SUM(N90:AB90)</t>
  </si>
  <si>
    <t>=ABS(SUM(N90:AB90))</t>
  </si>
  <si>
    <t>=IF(AD91=0,"Hide","Show")</t>
  </si>
  <si>
    <t>="205500"</t>
  </si>
  <si>
    <t>=IF($G91="","",NL("Rows","G/L Account","Name","No.",$G91,"Company=",$D$4))</t>
  </si>
  <si>
    <t>=IF($F$5="YES",0,ROUND(-NL("SUM","G/L Entry","Amount","G/L Account No.","@@"&amp;$G91,"Fund No.","@@"&amp;M$15,"Company=",$D$4,"Transaction Type",$D$5,"Posting Date",$D$7),0))</t>
  </si>
  <si>
    <t>=IF($F$5="YES",0,ROUND(-NL("SUM","G/L Entry","Amount","G/L Account No.","@@"&amp;$G91,"Fund No.","@@"&amp;P$15,"Company=",$D$4,"Transaction Type",$D$5,"Posting Date",$D$7),0))</t>
  </si>
  <si>
    <t>=IF($F$5="YES",0,ROUND(-NL("SUM","G/L Entry","Amount","G/L Account No.","@@"&amp;$G91,"Fund No.","@@"&amp;S$15,"Company=",$D$4,"Transaction Type",$D$5,"Posting Date",$D$7),0))</t>
  </si>
  <si>
    <t>=IF($F$5="YES",0,ROUND(-NL("SUM","G/L Entry","Amount","G/L Account No.","@@"&amp;$G91,"Fund No.","@@"&amp;V$15,"Company=",$D$4,"Transaction Type",$D$5,"Posting Date",$D$7),0))</t>
  </si>
  <si>
    <t>=IF($F$5="YES",0,ROUND(-NL("SUM","G/L Entry","Amount","G/L Account No.","@@"&amp;$G91,"Fund No.","@@"&amp;Y$15,"Company=",$D$4,"Transaction Type",$D$5,"Posting Date",$D$7),0))</t>
  </si>
  <si>
    <t>=SUM(N91:AB91)</t>
  </si>
  <si>
    <t>=ABS(SUM(N91:AB91))</t>
  </si>
  <si>
    <t>=IF(AD92=0,"Hide","Show")</t>
  </si>
  <si>
    <t>="208000"</t>
  </si>
  <si>
    <t>=IF($G92="","",NL("Rows","G/L Account","Name","No.",$G92,"Company=",$D$4))</t>
  </si>
  <si>
    <t>=IF($F$5="YES",0,ROUND(-NL("SUM","G/L Entry","Amount","G/L Account No.","@@"&amp;$G92,"Fund No.","@@"&amp;M$15,"Company=",$D$4,"Transaction Type",$D$5,"Posting Date",$D$7),0))</t>
  </si>
  <si>
    <t>=IF($F$5="YES",0,ROUND(-NL("SUM","G/L Entry","Amount","G/L Account No.","@@"&amp;$G92,"Fund No.","@@"&amp;P$15,"Company=",$D$4,"Transaction Type",$D$5,"Posting Date",$D$7),0))</t>
  </si>
  <si>
    <t>=IF($F$5="YES",0,ROUND(-NL("SUM","G/L Entry","Amount","G/L Account No.","@@"&amp;$G92,"Fund No.","@@"&amp;S$15,"Company=",$D$4,"Transaction Type",$D$5,"Posting Date",$D$7),0))</t>
  </si>
  <si>
    <t>=IF($F$5="YES",0,ROUND(-NL("SUM","G/L Entry","Amount","G/L Account No.","@@"&amp;$G92,"Fund No.","@@"&amp;V$15,"Company=",$D$4,"Transaction Type",$D$5,"Posting Date",$D$7),0))</t>
  </si>
  <si>
    <t>=IF($F$5="YES",0,ROUND(-NL("SUM","G/L Entry","Amount","G/L Account No.","@@"&amp;$G92,"Fund No.","@@"&amp;Y$15,"Company=",$D$4,"Transaction Type",$D$5,"Posting Date",$D$7),0))</t>
  </si>
  <si>
    <t>=SUM(N92:AB92)</t>
  </si>
  <si>
    <t>=ABS(SUM(N92:AB92))</t>
  </si>
  <si>
    <t>=IF(AD93=0,"Hide","Show")</t>
  </si>
  <si>
    <t>="216000"</t>
  </si>
  <si>
    <t>=IF($F$5="YES",0,ROUND(-NL("SUM","G/L Entry","Amount","G/L Account No.","@@"&amp;$G93,"Fund No.","@@"&amp;M$15,"Company=",$D$4,"Transaction Type",$D$5,"Posting Date",$D$7),0))</t>
  </si>
  <si>
    <t>=IF($F$5="YES",0,ROUND(-NL("SUM","G/L Entry","Amount","G/L Account No.","@@"&amp;$G93,"Fund No.","@@"&amp;P$15,"Company=",$D$4,"Transaction Type",$D$5,"Posting Date",$D$7),0))</t>
  </si>
  <si>
    <t>=IF($F$5="YES",0,ROUND(-NL("SUM","G/L Entry","Amount","G/L Account No.","@@"&amp;$G93,"Fund No.","@@"&amp;S$15,"Company=",$D$4,"Transaction Type",$D$5,"Posting Date",$D$7),0))</t>
  </si>
  <si>
    <t>=IF($F$5="YES",0,ROUND(-NL("SUM","G/L Entry","Amount","G/L Account No.","@@"&amp;$G93,"Fund No.","@@"&amp;V$15,"Company=",$D$4,"Transaction Type",$D$5,"Posting Date",$D$7),0))</t>
  </si>
  <si>
    <t>=IF($F$5="YES",0,ROUND(-NL("SUM","G/L Entry","Amount","G/L Account No.","@@"&amp;$G93,"Fund No.","@@"&amp;Y$15,"Company=",$D$4,"Transaction Type",$D$5,"Posting Date",$D$7),0))</t>
  </si>
  <si>
    <t>=SUM(N93:AB93)</t>
  </si>
  <si>
    <t>=ABS(SUM(N93:AB93))</t>
  </si>
  <si>
    <t>=IF(AD94=0,"Hide","Show")</t>
  </si>
  <si>
    <t>="217000"</t>
  </si>
  <si>
    <t>=IF($G94="","",NL("Rows","G/L Account","Name","No.",$G94,"Company=",$D$4))</t>
  </si>
  <si>
    <t>=IF($F$5="YES",0,ROUND(-NL("SUM","G/L Entry","Amount","G/L Account No.","@@"&amp;$G94,"Fund No.","@@"&amp;M$15,"Company=",$D$4,"Transaction Type",$D$5,"Posting Date",$D$7),0))</t>
  </si>
  <si>
    <t>=IF($F$5="YES",0,ROUND(-NL("SUM","G/L Entry","Amount","G/L Account No.","@@"&amp;$G94,"Fund No.","@@"&amp;P$15,"Company=",$D$4,"Transaction Type",$D$5,"Posting Date",$D$7),0))</t>
  </si>
  <si>
    <t>=IF($F$5="YES",0,ROUND(-NL("SUM","G/L Entry","Amount","G/L Account No.","@@"&amp;$G94,"Fund No.","@@"&amp;S$15,"Company=",$D$4,"Transaction Type",$D$5,"Posting Date",$D$7),0))</t>
  </si>
  <si>
    <t>=IF($F$5="YES",0,ROUND(-NL("SUM","G/L Entry","Amount","G/L Account No.","@@"&amp;$G94,"Fund No.","@@"&amp;V$15,"Company=",$D$4,"Transaction Type",$D$5,"Posting Date",$D$7),0))</t>
  </si>
  <si>
    <t>=IF($F$5="YES",0,ROUND(-NL("SUM","G/L Entry","Amount","G/L Account No.","@@"&amp;$G94,"Fund No.","@@"&amp;Y$15,"Company=",$D$4,"Transaction Type",$D$5,"Posting Date",$D$7),0))</t>
  </si>
  <si>
    <t>=SUM(N94:AB94)</t>
  </si>
  <si>
    <t>=ABS(SUM(N94:AB94))</t>
  </si>
  <si>
    <t>=IF(AD95=0,"Hide","Show")</t>
  </si>
  <si>
    <t>="220000"</t>
  </si>
  <si>
    <t>=IF($G95="","",NL("Rows","G/L Account","Name","No.",$G95,"Company=",$D$4))</t>
  </si>
  <si>
    <t>=IF($F$5="YES",0,ROUND(-NL("SUM","G/L Entry","Amount","G/L Account No.","@@"&amp;$G95,"Fund No.","@@"&amp;M$15,"Company=",$D$4,"Transaction Type",$D$5,"Posting Date",$D$7),0))</t>
  </si>
  <si>
    <t>=IF($F$5="YES",0,ROUND(-NL("SUM","G/L Entry","Amount","G/L Account No.","@@"&amp;$G95,"Fund No.","@@"&amp;P$15,"Company=",$D$4,"Transaction Type",$D$5,"Posting Date",$D$7),0))</t>
  </si>
  <si>
    <t>=IF($F$5="YES",0,ROUND(-NL("SUM","G/L Entry","Amount","G/L Account No.","@@"&amp;$G95,"Fund No.","@@"&amp;S$15,"Company=",$D$4,"Transaction Type",$D$5,"Posting Date",$D$7),0))</t>
  </si>
  <si>
    <t>=IF($F$5="YES",0,ROUND(-NL("SUM","G/L Entry","Amount","G/L Account No.","@@"&amp;$G95,"Fund No.","@@"&amp;V$15,"Company=",$D$4,"Transaction Type",$D$5,"Posting Date",$D$7),0))</t>
  </si>
  <si>
    <t>=IF($F$5="YES",0,ROUND(-NL("SUM","G/L Entry","Amount","G/L Account No.","@@"&amp;$G95,"Fund No.","@@"&amp;Y$15,"Company=",$D$4,"Transaction Type",$D$5,"Posting Date",$D$7),0))</t>
  </si>
  <si>
    <t>=SUM(N95:AB95)</t>
  </si>
  <si>
    <t>=ABS(SUM(N95:AB95))</t>
  </si>
  <si>
    <t>=IF(AD96=0,"Hide","Show")</t>
  </si>
  <si>
    <t>="223000"</t>
  </si>
  <si>
    <t>=IF($G96="","",NL("Rows","G/L Account","Name","No.",$G96,"Company=",$D$4))</t>
  </si>
  <si>
    <t>=IF($F$5="YES",0,ROUND(-NL("SUM","G/L Entry","Amount","G/L Account No.","@@"&amp;$G96,"Fund No.","@@"&amp;M$15,"Company=",$D$4,"Transaction Type",$D$5,"Posting Date",$D$7),0))</t>
  </si>
  <si>
    <t>=IF($F$5="YES",0,ROUND(-NL("SUM","G/L Entry","Amount","G/L Account No.","@@"&amp;$G96,"Fund No.","@@"&amp;P$15,"Company=",$D$4,"Transaction Type",$D$5,"Posting Date",$D$7),0))</t>
  </si>
  <si>
    <t>=IF($F$5="YES",0,ROUND(-NL("SUM","G/L Entry","Amount","G/L Account No.","@@"&amp;$G96,"Fund No.","@@"&amp;S$15,"Company=",$D$4,"Transaction Type",$D$5,"Posting Date",$D$7),0))</t>
  </si>
  <si>
    <t>=IF($F$5="YES",0,ROUND(-NL("SUM","G/L Entry","Amount","G/L Account No.","@@"&amp;$G96,"Fund No.","@@"&amp;V$15,"Company=",$D$4,"Transaction Type",$D$5,"Posting Date",$D$7),0))</t>
  </si>
  <si>
    <t>=IF($F$5="YES",0,ROUND(-NL("SUM","G/L Entry","Amount","G/L Account No.","@@"&amp;$G96,"Fund No.","@@"&amp;Y$15,"Company=",$D$4,"Transaction Type",$D$5,"Posting Date",$D$7),0))</t>
  </si>
  <si>
    <t>=SUM(N96:AB96)</t>
  </si>
  <si>
    <t>=ABS(SUM(N96:AB96))</t>
  </si>
  <si>
    <t>=IF(AD97=0,"Hide","Show")</t>
  </si>
  <si>
    <t>="229000"</t>
  </si>
  <si>
    <t>=IF($F$5="YES",0,ROUND(-NL("SUM","G/L Entry","Amount","G/L Account No.","@@"&amp;$G97,"Fund No.","@@"&amp;M$15,"Company=",$D$4,"Transaction Type",$D$5,"Posting Date",$D$7),0))</t>
  </si>
  <si>
    <t>=IF($F$5="YES",0,ROUND(-NL("SUM","G/L Entry","Amount","G/L Account No.","@@"&amp;$G97,"Fund No.","@@"&amp;P$15,"Company=",$D$4,"Transaction Type",$D$5,"Posting Date",$D$7),0))</t>
  </si>
  <si>
    <t>=IF($F$5="YES",0,ROUND(-NL("SUM","G/L Entry","Amount","G/L Account No.","@@"&amp;$G97,"Fund No.","@@"&amp;S$15,"Company=",$D$4,"Transaction Type",$D$5,"Posting Date",$D$7),0))</t>
  </si>
  <si>
    <t>=IF($F$5="YES",0,ROUND(-NL("SUM","G/L Entry","Amount","G/L Account No.","@@"&amp;$G97,"Fund No.","@@"&amp;V$15,"Company=",$D$4,"Transaction Type",$D$5,"Posting Date",$D$7),0))</t>
  </si>
  <si>
    <t>=IF($F$5="YES",0,ROUND(-NL("SUM","G/L Entry","Amount","G/L Account No.","@@"&amp;$G97,"Fund No.","@@"&amp;Y$15,"Company=",$D$4,"Transaction Type",$D$5,"Posting Date",$D$7),0))</t>
  </si>
  <si>
    <t>=SUM(N97:AB97)</t>
  </si>
  <si>
    <t>=ABS(SUM(N97:AB97))</t>
  </si>
  <si>
    <t>=IF(AD98=0,"Hide","Show")</t>
  </si>
  <si>
    <t>=IF(N44&gt;0,0,-N44)</t>
  </si>
  <si>
    <t>=IF(Q44&gt;0,0,-Q44)</t>
  </si>
  <si>
    <t>=IF(T44&gt;0,0,-T44)</t>
  </si>
  <si>
    <t>=IF(W44&gt;0,0,-W44)</t>
  </si>
  <si>
    <t>=IF(Z44&gt;0,0,-Z44)</t>
  </si>
  <si>
    <t>=SUM(N98:AB98)</t>
  </si>
  <si>
    <t>=ABS(SUM(N98:AB98))</t>
  </si>
  <si>
    <t>=SUM(N88:N99)</t>
  </si>
  <si>
    <t>=SUM(Q88:Q99)</t>
  </si>
  <si>
    <t>=SUM(T88:T99)</t>
  </si>
  <si>
    <t>=SUM(W88:W99)</t>
  </si>
  <si>
    <t>=SUM(Z88:Z99)</t>
  </si>
  <si>
    <t>=SUM(N100:AB100)</t>
  </si>
  <si>
    <t>=ABS(SUM(N100:AB100))</t>
  </si>
  <si>
    <t>=IF(AD103=0,"Hide","Show")</t>
  </si>
  <si>
    <t>=NL("Rows","G/L Entry","G/L Account No.","G/L Account No.",$D$103,"Fund No.",$D$8,"Company=",$D$4,"Posting Date",$D$7,"Transaction Type",$D$5)</t>
  </si>
  <si>
    <t>=IF($G103="","",NL("Rows","G/L Account","Name","No.",$G103,"Company=",$D$4))</t>
  </si>
  <si>
    <t>=IF($F$5="YES",0,ROUND(-NL("SUM","G/L Entry","Amount","G/L Account No.","@@"&amp;$G103,"Fund No.","@@"&amp;M$15,"Company=",$D$4,"Transaction Type",$D$5,"Posting Date",$D$7),0))</t>
  </si>
  <si>
    <t>=IF($F$5="YES",0,ROUND(-NL("SUM","G/L Entry","Amount","G/L Account No.","@@"&amp;$G103,"Fund No.","@@"&amp;P$15,"Company=",$D$4,"Transaction Type",$D$5,"Posting Date",$D$7),0))</t>
  </si>
  <si>
    <t>=IF($F$5="YES",0,ROUND(-NL("SUM","G/L Entry","Amount","G/L Account No.","@@"&amp;$G103,"Fund No.","@@"&amp;S$15,"Company=",$D$4,"Transaction Type",$D$5,"Posting Date",$D$7),0))</t>
  </si>
  <si>
    <t>=IF($F$5="YES",0,ROUND(-NL("SUM","G/L Entry","Amount","G/L Account No.","@@"&amp;$G103,"Fund No.","@@"&amp;V$15,"Company=",$D$4,"Transaction Type",$D$5,"Posting Date",$D$7),0))</t>
  </si>
  <si>
    <t>=IF($F$5="YES",0,ROUND(-NL("SUM","G/L Entry","Amount","G/L Account No.","@@"&amp;$G103,"Fund No.","@@"&amp;Y$15,"Company=",$D$4,"Transaction Type",$D$5,"Posting Date",$D$7),0))</t>
  </si>
  <si>
    <t>=SUM(N103:AB103)</t>
  </si>
  <si>
    <t>=ABS(SUM(N103:AB103))</t>
  </si>
  <si>
    <t>=SUM(N103:N104)</t>
  </si>
  <si>
    <t>=SUM(Q103:Q104)</t>
  </si>
  <si>
    <t>=SUM(T103:T104)</t>
  </si>
  <si>
    <t>=SUM(W103:W104)</t>
  </si>
  <si>
    <t>=SUM(Z103:Z104)</t>
  </si>
  <si>
    <t>=SUM(N105:AB105)</t>
  </si>
  <si>
    <t>=ABS(SUM(N105:AB105))</t>
  </si>
  <si>
    <t>=N105+N100</t>
  </si>
  <si>
    <t>=Q105+Q100</t>
  </si>
  <si>
    <t>=T105+T100</t>
  </si>
  <si>
    <t>=W105+W100</t>
  </si>
  <si>
    <t>=Z105+Z100</t>
  </si>
  <si>
    <t>=AC105+AC100</t>
  </si>
  <si>
    <t>=ABS(SUM(N107:AB107))</t>
  </si>
  <si>
    <t>=IF(AD176=0,"Hide","Show")</t>
  </si>
  <si>
    <t>=IF($AD163=0,"FUND BALANCES",IF($AD110=0,"NET ASSETS","FUND BALANCES / NET ASSETS"))</t>
  </si>
  <si>
    <t>=AD112</t>
  </si>
  <si>
    <t>=IF(OR($AD163=0,$AD112=0),"Hide","SHOW")</t>
  </si>
  <si>
    <t>=AD180</t>
  </si>
  <si>
    <t>=SUM(AD113:AD126)</t>
  </si>
  <si>
    <t>=IF(AD113=0,"Hide","Show")</t>
  </si>
  <si>
    <t>=IF(OR($F$5="YES",M113="0"),0,SUM(N81-N107-N175))</t>
  </si>
  <si>
    <t>=IF(AND(P$16&gt;=200,P$16&lt;=299),"200..299","0")</t>
  </si>
  <si>
    <t>=IF(OR($F$5="YES",P113="0"),0,SUM(Q81-Q107-Q175))</t>
  </si>
  <si>
    <t>=IF(AND(S$16&gt;=200,S$16&lt;=299),"200..299","0")</t>
  </si>
  <si>
    <t>=IF(OR($F$5="YES",S113="0"),0,SUM(T81-T107-T175))</t>
  </si>
  <si>
    <t>=IF(AND(V$16&gt;=200,V$16&lt;=299),"200..299","0")</t>
  </si>
  <si>
    <t>=IF(OR($F$5="YES",V113="0"),0,SUM(W81-W107-W175))</t>
  </si>
  <si>
    <t>=IF(AND(Y$16&gt;=200,Y$16&lt;=299),"200..299","0")</t>
  </si>
  <si>
    <t>=IF(OR($F$5="YES",Y113="0"),0,SUM(Z81-Z107-Z175))</t>
  </si>
  <si>
    <t>=SUM(N113:AB113)</t>
  </si>
  <si>
    <t>=ABS(SUM(N113:AB113))</t>
  </si>
  <si>
    <t>=IF(AD114=0,"Hide","Show")</t>
  </si>
  <si>
    <t>=IF(OR($F$5="YES",M114="0"),0,SUM(N81-N107-N175))</t>
  </si>
  <si>
    <t>=IF(AND(P$16&gt;=300,P$16&lt;=399),"300..399","0")</t>
  </si>
  <si>
    <t>=IF(OR($F$5="YES",P114="0"),0,SUM(Q81-Q107-Q175))</t>
  </si>
  <si>
    <t>=IF(AND(S$16&gt;=300,S$16&lt;=399),"300..399","0")</t>
  </si>
  <si>
    <t>=IF(OR($F$5="YES",S114="0"),0,SUM(T81-T107-T175))</t>
  </si>
  <si>
    <t>=IF(AND(V$16&gt;=300,V$16&lt;=399),"300..399","0")</t>
  </si>
  <si>
    <t>=IF(OR($F$5="YES",V114="0"),0,SUM(W81-W107-W175))</t>
  </si>
  <si>
    <t>=IF(AND(Y$16&gt;=300,Y$16&lt;=399),"300..399","0")</t>
  </si>
  <si>
    <t>=IF(OR($F$5="YES",Y114="0"),0,SUM(Z81-Z107-Z175))</t>
  </si>
  <si>
    <t>=SUM(N114:AB114)</t>
  </si>
  <si>
    <t>=ABS(SUM(N114:AB114))</t>
  </si>
  <si>
    <t>=IF(AD115=0,"Hide","Show")</t>
  </si>
  <si>
    <t>=IF(OR($F$5="YES",M115="0"),0,SUM(N81-N107-N175))</t>
  </si>
  <si>
    <t>=IF(AND(P$16&gt;=100,P$16&lt;=199),"100..199","0")</t>
  </si>
  <si>
    <t>=IF(OR($F$5="YES",P115="0"),0,SUM(Q81-Q107-Q175))</t>
  </si>
  <si>
    <t>=IF(AND(S$16&gt;=100,S$16&lt;=199),"100..199","0")</t>
  </si>
  <si>
    <t>=IF(OR($F$5="YES",S115="0"),0,SUM(T81-T107-T175))</t>
  </si>
  <si>
    <t>=IF(AND(V$16&gt;=100,V$16&lt;=199),"100..199","0")</t>
  </si>
  <si>
    <t>=IF(OR($F$5="YES",V115="0"),0,SUM(W81-W107-W175))</t>
  </si>
  <si>
    <t>=IF(AND(Y$16&gt;=100,Y$16&lt;=199),"100..199","0")</t>
  </si>
  <si>
    <t>=IF(OR($F$5="YES",Y115="0"),0,SUM(Z81-Z107-Z175))</t>
  </si>
  <si>
    <t>=SUM(N115:AB115)</t>
  </si>
  <si>
    <t>=ABS(SUM(N115:AB115))</t>
  </si>
  <si>
    <t>=IF(AD116=0,"Hide","Show")</t>
  </si>
  <si>
    <t>=NL("Rows","G/L Entry","G/L Account No.","G/L Account No.",$D$111,"Fund No.",$D$8,"Company=",$D$4,"Posting Date",$D$7,"Transaction Type",$D$5)</t>
  </si>
  <si>
    <t>=IF($G116="","",NL("Rows","G/L Account","Name","No.",$G116,"Company=",$D$4))</t>
  </si>
  <si>
    <t>=IF($F$5="YES",0,IF(M116=0,0,ROUND(-NL("SUM","G/L Entry","Amount","G/L Account No.","@@"&amp;$G116,"Fund No.","@@"&amp;M$15,"Company=",$D$4,"Transaction Type",$D$5,"Posting Date",$D$7),0)))</t>
  </si>
  <si>
    <t>=IF(AND(P$16&gt;=400,P$16&lt;=499),0,"001..399")</t>
  </si>
  <si>
    <t>=IF($F$5="YES",0,IF(P116=0,0,ROUND(-NL("SUM","G/L Entry","Amount","G/L Account No.","@@"&amp;$G116,"Fund No.","@@"&amp;P$15,"Company=",$D$4,"Transaction Type",$D$5,"Posting Date",$D$7),0)))</t>
  </si>
  <si>
    <t>=IF(AND(S$16&gt;=400,S$16&lt;=499),0,"001..399")</t>
  </si>
  <si>
    <t>=IF($F$5="YES",0,IF(S116=0,0,ROUND(-NL("SUM","G/L Entry","Amount","G/L Account No.","@@"&amp;$G116,"Fund No.","@@"&amp;S$15,"Company=",$D$4,"Transaction Type",$D$5,"Posting Date",$D$7),0)))</t>
  </si>
  <si>
    <t>=IF(AND(V$16&gt;=400,V$16&lt;=499),0,"001..399")</t>
  </si>
  <si>
    <t>=IF($F$5="YES",0,IF(V116=0,0,ROUND(-NL("SUM","G/L Entry","Amount","G/L Account No.","@@"&amp;$G116,"Fund No.","@@"&amp;V$15,"Company=",$D$4,"Transaction Type",$D$5,"Posting Date",$D$7),0)))</t>
  </si>
  <si>
    <t>=IF(AND(Y$16&gt;=400,Y$16&lt;=499),0,"001..399")</t>
  </si>
  <si>
    <t>=IF($F$5="YES",0,IF(Y116=0,0,ROUND(-NL("SUM","G/L Entry","Amount","G/L Account No.","@@"&amp;$G116,"Fund No.","@@"&amp;Y$15,"Company=",$D$4,"Transaction Type",$D$5,"Posting Date",$D$7),0)))</t>
  </si>
  <si>
    <t>=SUM(N116:AB116)</t>
  </si>
  <si>
    <t>=ABS(SUM(N116:AB116))</t>
  </si>
  <si>
    <t>=IF(AD117=0,"Hide","Show")</t>
  </si>
  <si>
    <t>="247118"</t>
  </si>
  <si>
    <t>=IF($F$5="YES",0,IF(M117=0,0,ROUND(-NL("SUM","G/L Entry","Amount","G/L Account No.","@@"&amp;$G117,"Fund No.","@@"&amp;M$15,"Company=",$D$4,"Transaction Type",$D$5,"Posting Date",$D$7),0)))</t>
  </si>
  <si>
    <t>=IF($F$5="YES",0,IF(P117=0,0,ROUND(-NL("SUM","G/L Entry","Amount","G/L Account No.","@@"&amp;$G117,"Fund No.","@@"&amp;P$15,"Company=",$D$4,"Transaction Type",$D$5,"Posting Date",$D$7),0)))</t>
  </si>
  <si>
    <t>=IF($F$5="YES",0,IF(S117=0,0,ROUND(-NL("SUM","G/L Entry","Amount","G/L Account No.","@@"&amp;$G117,"Fund No.","@@"&amp;S$15,"Company=",$D$4,"Transaction Type",$D$5,"Posting Date",$D$7),0)))</t>
  </si>
  <si>
    <t>=IF($F$5="YES",0,IF(V117=0,0,ROUND(-NL("SUM","G/L Entry","Amount","G/L Account No.","@@"&amp;$G117,"Fund No.","@@"&amp;V$15,"Company=",$D$4,"Transaction Type",$D$5,"Posting Date",$D$7),0)))</t>
  </si>
  <si>
    <t>=IF($F$5="YES",0,IF(Y117=0,0,ROUND(-NL("SUM","G/L Entry","Amount","G/L Account No.","@@"&amp;$G117,"Fund No.","@@"&amp;Y$15,"Company=",$D$4,"Transaction Type",$D$5,"Posting Date",$D$7),0)))</t>
  </si>
  <si>
    <t>=SUM(N117:AB117)</t>
  </si>
  <si>
    <t>=ABS(SUM(N117:AB117))</t>
  </si>
  <si>
    <t>=IF(AD118=0,"Hide","Show")</t>
  </si>
  <si>
    <t>="247199"</t>
  </si>
  <si>
    <t>=IF($G118="","",NL("Rows","G/L Account","Name","No.",$G118,"Company=",$D$4))</t>
  </si>
  <si>
    <t>=IF($F$5="YES",0,IF(M118=0,0,ROUND(-NL("SUM","G/L Entry","Amount","G/L Account No.","@@"&amp;$G118,"Fund No.","@@"&amp;M$15,"Company=",$D$4,"Transaction Type",$D$5,"Posting Date",$D$7),0)))</t>
  </si>
  <si>
    <t>=IF($F$5="YES",0,IF(P118=0,0,ROUND(-NL("SUM","G/L Entry","Amount","G/L Account No.","@@"&amp;$G118,"Fund No.","@@"&amp;P$15,"Company=",$D$4,"Transaction Type",$D$5,"Posting Date",$D$7),0)))</t>
  </si>
  <si>
    <t>=IF($F$5="YES",0,IF(S118=0,0,ROUND(-NL("SUM","G/L Entry","Amount","G/L Account No.","@@"&amp;$G118,"Fund No.","@@"&amp;S$15,"Company=",$D$4,"Transaction Type",$D$5,"Posting Date",$D$7),0)))</t>
  </si>
  <si>
    <t>=IF($F$5="YES",0,IF(V118=0,0,ROUND(-NL("SUM","G/L Entry","Amount","G/L Account No.","@@"&amp;$G118,"Fund No.","@@"&amp;V$15,"Company=",$D$4,"Transaction Type",$D$5,"Posting Date",$D$7),0)))</t>
  </si>
  <si>
    <t>=IF($F$5="YES",0,IF(Y118=0,0,ROUND(-NL("SUM","G/L Entry","Amount","G/L Account No.","@@"&amp;$G118,"Fund No.","@@"&amp;Y$15,"Company=",$D$4,"Transaction Type",$D$5,"Posting Date",$D$7),0)))</t>
  </si>
  <si>
    <t>=SUM(N118:AB118)</t>
  </si>
  <si>
    <t>=ABS(SUM(N118:AB118))</t>
  </si>
  <si>
    <t>=IF(AD119=0,"Hide","Show")</t>
  </si>
  <si>
    <t>="283010"</t>
  </si>
  <si>
    <t>=IF($G119="","",NL("Rows","G/L Account","Name","No.",$G119,"Company=",$D$4))</t>
  </si>
  <si>
    <t>=IF($F$5="YES",0,IF(M119=0,0,ROUND(-NL("SUM","G/L Entry","Amount","G/L Account No.","@@"&amp;$G119,"Fund No.","@@"&amp;M$15,"Company=",$D$4,"Transaction Type",$D$5,"Posting Date",$D$7),0)))</t>
  </si>
  <si>
    <t>=IF($F$5="YES",0,IF(P119=0,0,ROUND(-NL("SUM","G/L Entry","Amount","G/L Account No.","@@"&amp;$G119,"Fund No.","@@"&amp;P$15,"Company=",$D$4,"Transaction Type",$D$5,"Posting Date",$D$7),0)))</t>
  </si>
  <si>
    <t>=IF($F$5="YES",0,IF(S119=0,0,ROUND(-NL("SUM","G/L Entry","Amount","G/L Account No.","@@"&amp;$G119,"Fund No.","@@"&amp;S$15,"Company=",$D$4,"Transaction Type",$D$5,"Posting Date",$D$7),0)))</t>
  </si>
  <si>
    <t>=IF($F$5="YES",0,IF(V119=0,0,ROUND(-NL("SUM","G/L Entry","Amount","G/L Account No.","@@"&amp;$G119,"Fund No.","@@"&amp;V$15,"Company=",$D$4,"Transaction Type",$D$5,"Posting Date",$D$7),0)))</t>
  </si>
  <si>
    <t>=IF($F$5="YES",0,IF(Y119=0,0,ROUND(-NL("SUM","G/L Entry","Amount","G/L Account No.","@@"&amp;$G119,"Fund No.","@@"&amp;Y$15,"Company=",$D$4,"Transaction Type",$D$5,"Posting Date",$D$7),0)))</t>
  </si>
  <si>
    <t>=SUM(N119:AB119)</t>
  </si>
  <si>
    <t>=ABS(SUM(N119:AB119))</t>
  </si>
  <si>
    <t>=IF(AD120=0,"Hide","Show")</t>
  </si>
  <si>
    <t>="283720"</t>
  </si>
  <si>
    <t>=IF($G120="","",NL("Rows","G/L Account","Name","No.",$G120,"Company=",$D$4))</t>
  </si>
  <si>
    <t>=IF($F$5="YES",0,IF(M120=0,0,ROUND(-NL("SUM","G/L Entry","Amount","G/L Account No.","@@"&amp;$G120,"Fund No.","@@"&amp;M$15,"Company=",$D$4,"Transaction Type",$D$5,"Posting Date",$D$7),0)))</t>
  </si>
  <si>
    <t>=IF($F$5="YES",0,IF(P120=0,0,ROUND(-NL("SUM","G/L Entry","Amount","G/L Account No.","@@"&amp;$G120,"Fund No.","@@"&amp;P$15,"Company=",$D$4,"Transaction Type",$D$5,"Posting Date",$D$7),0)))</t>
  </si>
  <si>
    <t>=IF($F$5="YES",0,IF(S120=0,0,ROUND(-NL("SUM","G/L Entry","Amount","G/L Account No.","@@"&amp;$G120,"Fund No.","@@"&amp;S$15,"Company=",$D$4,"Transaction Type",$D$5,"Posting Date",$D$7),0)))</t>
  </si>
  <si>
    <t>=IF($F$5="YES",0,IF(V120=0,0,ROUND(-NL("SUM","G/L Entry","Amount","G/L Account No.","@@"&amp;$G120,"Fund No.","@@"&amp;V$15,"Company=",$D$4,"Transaction Type",$D$5,"Posting Date",$D$7),0)))</t>
  </si>
  <si>
    <t>=IF($F$5="YES",0,IF(Y120=0,0,ROUND(-NL("SUM","G/L Entry","Amount","G/L Account No.","@@"&amp;$G120,"Fund No.","@@"&amp;Y$15,"Company=",$D$4,"Transaction Type",$D$5,"Posting Date",$D$7),0)))</t>
  </si>
  <si>
    <t>=SUM(N120:AB120)</t>
  </si>
  <si>
    <t>=ABS(SUM(N120:AB120))</t>
  </si>
  <si>
    <t>=IF(AD121=0,"Hide","Show")</t>
  </si>
  <si>
    <t>="283780"</t>
  </si>
  <si>
    <t>=IF($G121="","",NL("Rows","G/L Account","Name","No.",$G121,"Company=",$D$4))</t>
  </si>
  <si>
    <t>=IF($F$5="YES",0,IF(M121=0,0,ROUND(-NL("SUM","G/L Entry","Amount","G/L Account No.","@@"&amp;$G121,"Fund No.","@@"&amp;M$15,"Company=",$D$4,"Transaction Type",$D$5,"Posting Date",$D$7),0)))</t>
  </si>
  <si>
    <t>=IF($F$5="YES",0,IF(P121=0,0,ROUND(-NL("SUM","G/L Entry","Amount","G/L Account No.","@@"&amp;$G121,"Fund No.","@@"&amp;P$15,"Company=",$D$4,"Transaction Type",$D$5,"Posting Date",$D$7),0)))</t>
  </si>
  <si>
    <t>=IF($F$5="YES",0,IF(S121=0,0,ROUND(-NL("SUM","G/L Entry","Amount","G/L Account No.","@@"&amp;$G121,"Fund No.","@@"&amp;S$15,"Company=",$D$4,"Transaction Type",$D$5,"Posting Date",$D$7),0)))</t>
  </si>
  <si>
    <t>=IF($F$5="YES",0,IF(V121=0,0,ROUND(-NL("SUM","G/L Entry","Amount","G/L Account No.","@@"&amp;$G121,"Fund No.","@@"&amp;V$15,"Company=",$D$4,"Transaction Type",$D$5,"Posting Date",$D$7),0)))</t>
  </si>
  <si>
    <t>=IF($F$5="YES",0,IF(Y121=0,0,ROUND(-NL("SUM","G/L Entry","Amount","G/L Account No.","@@"&amp;$G121,"Fund No.","@@"&amp;Y$15,"Company=",$D$4,"Transaction Type",$D$5,"Posting Date",$D$7),0)))</t>
  </si>
  <si>
    <t>=SUM(N121:AB121)</t>
  </si>
  <si>
    <t>=ABS(SUM(N121:AB121))</t>
  </si>
  <si>
    <t>=IF(AD122=0,"Hide","Show")</t>
  </si>
  <si>
    <t>="283790"</t>
  </si>
  <si>
    <t>=IF($G122="","",NL("Rows","G/L Account","Name","No.",$G122,"Company=",$D$4))</t>
  </si>
  <si>
    <t>=IF($F$5="YES",0,IF(M122=0,0,ROUND(-NL("SUM","G/L Entry","Amount","G/L Account No.","@@"&amp;$G122,"Fund No.","@@"&amp;M$15,"Company=",$D$4,"Transaction Type",$D$5,"Posting Date",$D$7),0)))</t>
  </si>
  <si>
    <t>=IF($F$5="YES",0,IF(P122=0,0,ROUND(-NL("SUM","G/L Entry","Amount","G/L Account No.","@@"&amp;$G122,"Fund No.","@@"&amp;P$15,"Company=",$D$4,"Transaction Type",$D$5,"Posting Date",$D$7),0)))</t>
  </si>
  <si>
    <t>=IF($F$5="YES",0,IF(S122=0,0,ROUND(-NL("SUM","G/L Entry","Amount","G/L Account No.","@@"&amp;$G122,"Fund No.","@@"&amp;S$15,"Company=",$D$4,"Transaction Type",$D$5,"Posting Date",$D$7),0)))</t>
  </si>
  <si>
    <t>=IF($F$5="YES",0,IF(V122=0,0,ROUND(-NL("SUM","G/L Entry","Amount","G/L Account No.","@@"&amp;$G122,"Fund No.","@@"&amp;V$15,"Company=",$D$4,"Transaction Type",$D$5,"Posting Date",$D$7),0)))</t>
  </si>
  <si>
    <t>=IF($F$5="YES",0,IF(Y122=0,0,ROUND(-NL("SUM","G/L Entry","Amount","G/L Account No.","@@"&amp;$G122,"Fund No.","@@"&amp;Y$15,"Company=",$D$4,"Transaction Type",$D$5,"Posting Date",$D$7),0)))</t>
  </si>
  <si>
    <t>=SUM(N122:AB122)</t>
  </si>
  <si>
    <t>=ABS(SUM(N122:AB122))</t>
  </si>
  <si>
    <t>=IF(AD123=0,"Hide","Show")</t>
  </si>
  <si>
    <t>="283825"</t>
  </si>
  <si>
    <t>=IF($G123="","",NL("Rows","G/L Account","Name","No.",$G123,"Company=",$D$4))</t>
  </si>
  <si>
    <t>=IF($F$5="YES",0,IF(M123=0,0,ROUND(-NL("SUM","G/L Entry","Amount","G/L Account No.","@@"&amp;$G123,"Fund No.","@@"&amp;M$15,"Company=",$D$4,"Transaction Type",$D$5,"Posting Date",$D$7),0)))</t>
  </si>
  <si>
    <t>=IF($F$5="YES",0,IF(P123=0,0,ROUND(-NL("SUM","G/L Entry","Amount","G/L Account No.","@@"&amp;$G123,"Fund No.","@@"&amp;P$15,"Company=",$D$4,"Transaction Type",$D$5,"Posting Date",$D$7),0)))</t>
  </si>
  <si>
    <t>=IF($F$5="YES",0,IF(S123=0,0,ROUND(-NL("SUM","G/L Entry","Amount","G/L Account No.","@@"&amp;$G123,"Fund No.","@@"&amp;S$15,"Company=",$D$4,"Transaction Type",$D$5,"Posting Date",$D$7),0)))</t>
  </si>
  <si>
    <t>=IF($F$5="YES",0,IF(V123=0,0,ROUND(-NL("SUM","G/L Entry","Amount","G/L Account No.","@@"&amp;$G123,"Fund No.","@@"&amp;V$15,"Company=",$D$4,"Transaction Type",$D$5,"Posting Date",$D$7),0)))</t>
  </si>
  <si>
    <t>=IF($F$5="YES",0,IF(Y123=0,0,ROUND(-NL("SUM","G/L Entry","Amount","G/L Account No.","@@"&amp;$G123,"Fund No.","@@"&amp;Y$15,"Company=",$D$4,"Transaction Type",$D$5,"Posting Date",$D$7),0)))</t>
  </si>
  <si>
    <t>=SUM(N123:AB123)</t>
  </si>
  <si>
    <t>=ABS(SUM(N123:AB123))</t>
  </si>
  <si>
    <t>=IF(AD125=0,"Hide","Show")</t>
  </si>
  <si>
    <t>=IF(OR($F$5="YES",M125="0"),0,SUM(N81-N107-N175))</t>
  </si>
  <si>
    <t>=IF(AND(P$16&gt;=0,P$16&lt;=199),"0..199|600..999",IF(AND(P$16&gt;=600,P$16&lt;=999),"0..199|600..999","0"))</t>
  </si>
  <si>
    <t>=IF(OR($F$5="YES",P125="0"),0,SUM(Q81-Q107-Q175))</t>
  </si>
  <si>
    <t>=IF(AND(S$16&gt;=0,S$16&lt;=199),"0..199|600..999",IF(AND(S$16&gt;=600,S$16&lt;=999),"0..199|600..999","0"))</t>
  </si>
  <si>
    <t>=IF(OR($F$5="YES",S125="0"),0,SUM(T81-T107-T175))</t>
  </si>
  <si>
    <t>=IF(AND(V$16&gt;=0,V$16&lt;=199),"0..199|600..999",IF(AND(V$16&gt;=600,V$16&lt;=999),"0..199|600..999","0"))</t>
  </si>
  <si>
    <t>=IF(OR($F$5="YES",V125="0"),0,SUM(W81-W107-W175))</t>
  </si>
  <si>
    <t>=IF(AND(Y$16&gt;=0,Y$16&lt;=199),"0..199|600..999",IF(AND(Y$16&gt;=600,Y$16&lt;=999),"0..199|600..999","0"))</t>
  </si>
  <si>
    <t>=IF(OR($F$5="YES",Y125="0"),0,SUM(Z81-Z107-Z175))</t>
  </si>
  <si>
    <t>=SUM(N125:AB125)</t>
  </si>
  <si>
    <t>=ABS(SUM(N125:AB125))</t>
  </si>
  <si>
    <t>=B163</t>
  </si>
  <si>
    <t>=NL("Rows","G/L Entry","G/L Account No.","G/L Account No.",$D$127,"Fund No.",$D$8,"Company=",$D$4,"Posting Date",$D$7,"Transaction Type",$D$5)</t>
  </si>
  <si>
    <t>=IF($G128="","",NL("Rows","G/L Account","Name","No.",$G128,"Company=",$D$4))</t>
  </si>
  <si>
    <t>=IF($F$5="NO",0,IF(M128=0,0,ROUND(-NL("SUM","G/L Entry","Amount","G/L Account No.","@@"&amp;$G128,"Fund No.","@@"&amp;M$15,"Company=",$D$4,"Transaction Type",$D$5,"Posting Date",$D$7),0)))</t>
  </si>
  <si>
    <t>=IF(AND(P$16&gt;=0,P$16&lt;=99),"0..099|600..999",IF(AND(P$16&gt;=600,P$16&lt;=999),"0..099|600..999","0"))</t>
  </si>
  <si>
    <t>=IF($F$5="NO",0,IF(P128=0,0,ROUND(-NL("SUM","G/L Entry","Amount","G/L Account No.","@@"&amp;$G128,"Fund No.","@@"&amp;P$15,"Company=",$D$4,"Transaction Type",$D$5,"Posting Date",$D$7),0)))</t>
  </si>
  <si>
    <t>=IF(AND(S$16&gt;=0,S$16&lt;=99),"0..099|600..999",IF(AND(S$16&gt;=600,S$16&lt;=999),"0..099|600..999","0"))</t>
  </si>
  <si>
    <t>=IF($F$5="NO",0,IF(S128=0,0,ROUND(-NL("SUM","G/L Entry","Amount","G/L Account No.","@@"&amp;$G128,"Fund No.","@@"&amp;S$15,"Company=",$D$4,"Transaction Type",$D$5,"Posting Date",$D$7),0)))</t>
  </si>
  <si>
    <t>=IF(AND(V$16&gt;=0,V$16&lt;=99),"0..099|600..999",IF(AND(V$16&gt;=600,V$16&lt;=999),"0..099|600..999","0"))</t>
  </si>
  <si>
    <t>=IF($F$5="NO",0,IF(V128=0,0,ROUND(-NL("SUM","G/L Entry","Amount","G/L Account No.","@@"&amp;$G128,"Fund No.","@@"&amp;V$15,"Company=",$D$4,"Transaction Type",$D$5,"Posting Date",$D$7),0)))</t>
  </si>
  <si>
    <t>=IF(AND(Y$16&gt;=0,Y$16&lt;=99),"0..099|600..999",IF(AND(Y$16&gt;=600,Y$16&lt;=999),"0..099|600..999","0"))</t>
  </si>
  <si>
    <t>=IF($F$5="NO",0,IF(Y128=0,0,ROUND(-NL("SUM","G/L Entry","Amount","G/L Account No.","@@"&amp;$G128,"Fund No.","@@"&amp;Y$15,"Company=",$D$4,"Transaction Type",$D$5,"Posting Date",$D$7),0)))</t>
  </si>
  <si>
    <t>=SUM(N128:AB128)</t>
  </si>
  <si>
    <t>=ABS(SUM(N128:AB128))</t>
  </si>
  <si>
    <t>=SUM(N127:N129)</t>
  </si>
  <si>
    <t>=SUM(Q127:Q129)</t>
  </si>
  <si>
    <t>=SUM(T127:T129)</t>
  </si>
  <si>
    <t>=SUM(W127:W129)</t>
  </si>
  <si>
    <t>=SUM(Z127:Z129)</t>
  </si>
  <si>
    <t>=SUM(N130:AB130)</t>
  </si>
  <si>
    <t>=ABS(SUM(N130:AB130))</t>
  </si>
  <si>
    <t>=IF(OR($F$5="NO",M132="0"),0,IF(SUM(N81-N107-N175)&lt;0,0,SUM(N81-N107-N175)))</t>
  </si>
  <si>
    <t>=IF(OR($F$5="NO",P132="0"),0,IF(SUM(Q81-Q107-Q175)&lt;0,0,SUM(Q81-Q107-Q175)))</t>
  </si>
  <si>
    <t>=IF(OR($F$5="NO",S132="0"),0,IF(SUM(T81-T107-T175)&lt;0,0,SUM(T81-T107-T175)))</t>
  </si>
  <si>
    <t>=IF(OR($F$5="NO",V132="0"),0,IF(SUM(W81-W107-W175)&lt;0,0,SUM(W81-W107-W175)))</t>
  </si>
  <si>
    <t>=IF(OR($F$5="NO",Y132="0"),0,IF(SUM(Z81-Z107-Z175)&lt;0,0,SUM(Z81-Z107-Z175)))</t>
  </si>
  <si>
    <t>=SUM(N132:AB132)</t>
  </si>
  <si>
    <t>=ABS(SUM(N132:AB132))</t>
  </si>
  <si>
    <t>=IF(OR($F$5="NO",M133="0"),0,IF(SUM(N81-N107-N175)&lt;0,0,SUM(N81-N107-N175)))</t>
  </si>
  <si>
    <t>=IF(OR($F$5="NO",P133="0"),0,IF(SUM(Q81-Q107-Q175)&lt;0,0,SUM(Q81-Q107-Q175)))</t>
  </si>
  <si>
    <t>=IF(OR($F$5="NO",S133="0"),0,IF(SUM(T81-T107-T175)&lt;0,0,SUM(T81-T107-T175)))</t>
  </si>
  <si>
    <t>=IF(OR($F$5="NO",V133="0"),0,IF(SUM(W81-W107-W175)&lt;0,0,SUM(W81-W107-W175)))</t>
  </si>
  <si>
    <t>=IF(OR($F$5="NO",Y133="0"),0,IF(SUM(Z81-Z107-Z175)&lt;0,0,SUM(Z81-Z107-Z175)))</t>
  </si>
  <si>
    <t>=SUM(N133:AB133)</t>
  </si>
  <si>
    <t>=ABS(SUM(N133:AB133))</t>
  </si>
  <si>
    <t>=IF(OR($F$5="NO",M134="0"),0,IF(SUM(N81-N107-N175)&lt;0,0,SUM(N81-N107-N175)))</t>
  </si>
  <si>
    <t>=IF(OR($F$5="NO",P134="0"),0,IF(SUM(Q81-Q107-Q175)&lt;0,0,SUM(Q81-Q107-Q175)))</t>
  </si>
  <si>
    <t>=IF(OR($F$5="NO",S134="0"),0,IF(SUM(T81-T107-T175)&lt;0,0,SUM(T81-T107-T175)))</t>
  </si>
  <si>
    <t>=IF(OR($F$5="NO",V134="0"),0,IF(SUM(W81-W107-W175)&lt;0,0,SUM(W81-W107-W175)))</t>
  </si>
  <si>
    <t>=IF(OR($F$5="NO",Y134="0"),0,IF(SUM(Z81-Z107-Z175)&lt;0,0,SUM(Z81-Z107-Z175)))</t>
  </si>
  <si>
    <t>=SUM(N134:AB134)</t>
  </si>
  <si>
    <t>=ABS(SUM(N134:AB134))</t>
  </si>
  <si>
    <t>=NL("Rows","G/L Entry","G/L Account No.","G/L Account No.",$D$131,"Fund No.",$D$8,"Company=",$D$4,"Posting Date",$D$7,"Transaction Type",$D$5)</t>
  </si>
  <si>
    <t>=IF($G136="","",NL("Rows","G/L Account","Name","No.",$G140,"Company=",$D$4))</t>
  </si>
  <si>
    <t>=IF($F$5="NO",0,IF(M136=0,0,ROUND(-NL("SUM","G/L Entry","Amount","G/L Account No.","@@"&amp;$G136,"Fund No.","@@"&amp;M$15,"Company=",$D$4,"Transaction Type",$D$5,"Posting Date",$D$7),0)))</t>
  </si>
  <si>
    <t>=IF($F$5="NO",0,IF(P136=0,0,ROUND(-NL("SUM","G/L Entry","Amount","G/L Account No.","@@"&amp;$G136,"Fund No.","@@"&amp;P$15,"Company=",$D$4,"Transaction Type",$D$5,"Posting Date",$D$7),0)))</t>
  </si>
  <si>
    <t>=IF($F$5="NO",0,IF(S136=0,0,ROUND(-NL("SUM","G/L Entry","Amount","G/L Account No.","@@"&amp;$G136,"Fund No.","@@"&amp;S$15,"Company=",$D$4,"Transaction Type",$D$5,"Posting Date",$D$7),0)))</t>
  </si>
  <si>
    <t>=IF($F$5="NO",0,IF(V136=0,0,ROUND(-NL("SUM","G/L Entry","Amount","G/L Account No.","@@"&amp;$G136,"Fund No.","@@"&amp;V$15,"Company=",$D$4,"Transaction Type",$D$5,"Posting Date",$D$7),0)))</t>
  </si>
  <si>
    <t>=IF($F$5="NO",0,IF(Y136=0,0,ROUND(-NL("SUM","G/L Entry","Amount","G/L Account No.","@@"&amp;$G136,"Fund No.","@@"&amp;Y$15,"Company=",$D$4,"Transaction Type",$D$5,"Posting Date",$D$7),0)))</t>
  </si>
  <si>
    <t>=SUM(N136:AB136)</t>
  </si>
  <si>
    <t>=ABS(SUM(N136:AB136))</t>
  </si>
  <si>
    <t>=SUM(N131:N137)</t>
  </si>
  <si>
    <t>=SUM(Q131:Q137)</t>
  </si>
  <si>
    <t>=SUM(T131:T137)</t>
  </si>
  <si>
    <t>=SUM(W131:W137)</t>
  </si>
  <si>
    <t>=SUM(Z131:Z137)</t>
  </si>
  <si>
    <t>=SUM(N138:AB138)</t>
  </si>
  <si>
    <t>=ABS(SUM(N138:AB138))</t>
  </si>
  <si>
    <t>=NL("Rows","G/L Entry","G/L Account No.","G/L Account No.",$D$139,"Fund No.",$D$8,"Company=",$D$4,"Posting Date",$D$7,"Transaction Type",$D$5)</t>
  </si>
  <si>
    <t>=IF($G140="","",NL("Rows","G/L Account","Name","No.",$G140,"Company=",$D$4))</t>
  </si>
  <si>
    <t>=IF($F$5="NO",0,IF(M140=0,0,ROUND(-NL("SUM","G/L Entry","Amount","G/L Account No.","@@"&amp;$G140,"Fund No.","@@"&amp;M$15,"Company=",$D$4,"Transaction Type",$D$5,"Posting Date",$D$7),0)))</t>
  </si>
  <si>
    <t>=IF($F$5="NO",0,IF(P140=0,0,ROUND(-NL("SUM","G/L Entry","Amount","G/L Account No.","@@"&amp;$G140,"Fund No.","@@"&amp;P$15,"Company=",$D$4,"Transaction Type",$D$5,"Posting Date",$D$7),0)))</t>
  </si>
  <si>
    <t>=IF($F$5="NO",0,IF(S140=0,0,ROUND(-NL("SUM","G/L Entry","Amount","G/L Account No.","@@"&amp;$G140,"Fund No.","@@"&amp;S$15,"Company=",$D$4,"Transaction Type",$D$5,"Posting Date",$D$7),0)))</t>
  </si>
  <si>
    <t>=IF($F$5="NO",0,IF(V140=0,0,ROUND(-NL("SUM","G/L Entry","Amount","G/L Account No.","@@"&amp;$G140,"Fund No.","@@"&amp;V$15,"Company=",$D$4,"Transaction Type",$D$5,"Posting Date",$D$7),0)))</t>
  </si>
  <si>
    <t>=IF($F$5="NO",0,IF(Y140=0,0,ROUND(-NL("SUM","G/L Entry","Amount","G/L Account No.","@@"&amp;$G140,"Fund No.","@@"&amp;Y$15,"Company=",$D$4,"Transaction Type",$D$5,"Posting Date",$D$7),0)))</t>
  </si>
  <si>
    <t>=SUM(N140:AB140)</t>
  </si>
  <si>
    <t>=ABS(SUM(N140:AB140))</t>
  </si>
  <si>
    <t>=SUM(N139:N141)</t>
  </si>
  <si>
    <t>=SUM(Q139:Q141)</t>
  </si>
  <si>
    <t>=SUM(T139:T141)</t>
  </si>
  <si>
    <t>=SUM(W139:W141)</t>
  </si>
  <si>
    <t>=SUM(Z139:Z141)</t>
  </si>
  <si>
    <t>=SUM(N142:AB142)</t>
  </si>
  <si>
    <t>=ABS(SUM(N142:AB142))</t>
  </si>
  <si>
    <t>=NL("Rows","G/L Entry","G/L Account No.","G/L Account No.",$D$143,"Fund No.",$D$8,"Company=",$D$4,"Posting Date",$D$7,"Transaction Type",$D$5)</t>
  </si>
  <si>
    <t>=IF($G144="","",NL("Rows","G/L Account","Name","No.",$G144,"Company=",$D$4))</t>
  </si>
  <si>
    <t>=IF($F$5="NO",0,IF(M144=0,0,ROUND(-NL("SUM","G/L Entry","Amount","G/L Account No.","@@"&amp;$G144,"Fund No.","@@"&amp;M$15,"Company=",$D$4,"Transaction Type",$D$5,"Posting Date",$D$7),0)))</t>
  </si>
  <si>
    <t>=IF($F$5="NO",0,IF(P144=0,0,ROUND(-NL("SUM","G/L Entry","Amount","G/L Account No.","@@"&amp;$G144,"Fund No.","@@"&amp;P$15,"Company=",$D$4,"Transaction Type",$D$5,"Posting Date",$D$7),0)))</t>
  </si>
  <si>
    <t>=IF($F$5="NO",0,IF(S144=0,0,ROUND(-NL("SUM","G/L Entry","Amount","G/L Account No.","@@"&amp;$G144,"Fund No.","@@"&amp;S$15,"Company=",$D$4,"Transaction Type",$D$5,"Posting Date",$D$7),0)))</t>
  </si>
  <si>
    <t>=IF($F$5="NO",0,IF(V144=0,0,ROUND(-NL("SUM","G/L Entry","Amount","G/L Account No.","@@"&amp;$G144,"Fund No.","@@"&amp;V$15,"Company=",$D$4,"Transaction Type",$D$5,"Posting Date",$D$7),0)))</t>
  </si>
  <si>
    <t>=IF($F$5="NO",0,IF(Y144=0,0,ROUND(-NL("SUM","G/L Entry","Amount","G/L Account No.","@@"&amp;$G144,"Fund No.","@@"&amp;Y$15,"Company=",$D$4,"Transaction Type",$D$5,"Posting Date",$D$7),0)))</t>
  </si>
  <si>
    <t>=SUM(N144:AB144)</t>
  </si>
  <si>
    <t>=ABS(SUM(N144:AB144))</t>
  </si>
  <si>
    <t>=IF($G145="","",NL("Rows","G/L Account","Name","No.",$G145,"Company=",$D$4))</t>
  </si>
  <si>
    <t>=IF($F$5="NO",0,IF(M145=0,0,ROUND(-NL("SUM","G/L Entry","Amount","G/L Account No.","@@"&amp;$G145,"Fund No.","@@"&amp;M$15,"Company=",$D$4,"Transaction Type",$D$5,"Posting Date",$D$7),0)))</t>
  </si>
  <si>
    <t>=IF($F$5="NO",0,IF(P145=0,0,ROUND(-NL("SUM","G/L Entry","Amount","G/L Account No.","@@"&amp;$G145,"Fund No.","@@"&amp;P$15,"Company=",$D$4,"Transaction Type",$D$5,"Posting Date",$D$7),0)))</t>
  </si>
  <si>
    <t>=IF($F$5="NO",0,IF(S145=0,0,ROUND(-NL("SUM","G/L Entry","Amount","G/L Account No.","@@"&amp;$G145,"Fund No.","@@"&amp;S$15,"Company=",$D$4,"Transaction Type",$D$5,"Posting Date",$D$7),0)))</t>
  </si>
  <si>
    <t>=IF($F$5="NO",0,IF(V145=0,0,ROUND(-NL("SUM","G/L Entry","Amount","G/L Account No.","@@"&amp;$G145,"Fund No.","@@"&amp;V$15,"Company=",$D$4,"Transaction Type",$D$5,"Posting Date",$D$7),0)))</t>
  </si>
  <si>
    <t>=IF($F$5="NO",0,IF(Y145=0,0,ROUND(-NL("SUM","G/L Entry","Amount","G/L Account No.","@@"&amp;$G145,"Fund No.","@@"&amp;Y$15,"Company=",$D$4,"Transaction Type",$D$5,"Posting Date",$D$7),0)))</t>
  </si>
  <si>
    <t>=SUM(N145:AB145)</t>
  </si>
  <si>
    <t>=ABS(SUM(N145:AB145))</t>
  </si>
  <si>
    <t>=IF($G146="","",NL("Rows","G/L Account","Name","No.",$G146,"Company=",$D$4))</t>
  </si>
  <si>
    <t>=IF($F$5="NO",0,IF(M146=0,0,ROUND(-NL("SUM","G/L Entry","Amount","G/L Account No.","@@"&amp;$G146,"Fund No.","@@"&amp;M$15,"Company=",$D$4,"Transaction Type",$D$5,"Posting Date",$D$7),0)))</t>
  </si>
  <si>
    <t>=IF($F$5="NO",0,IF(P146=0,0,ROUND(-NL("SUM","G/L Entry","Amount","G/L Account No.","@@"&amp;$G146,"Fund No.","@@"&amp;P$15,"Company=",$D$4,"Transaction Type",$D$5,"Posting Date",$D$7),0)))</t>
  </si>
  <si>
    <t>=IF($F$5="NO",0,IF(S146=0,0,ROUND(-NL("SUM","G/L Entry","Amount","G/L Account No.","@@"&amp;$G146,"Fund No.","@@"&amp;S$15,"Company=",$D$4,"Transaction Type",$D$5,"Posting Date",$D$7),0)))</t>
  </si>
  <si>
    <t>=IF($F$5="NO",0,IF(V146=0,0,ROUND(-NL("SUM","G/L Entry","Amount","G/L Account No.","@@"&amp;$G146,"Fund No.","@@"&amp;V$15,"Company=",$D$4,"Transaction Type",$D$5,"Posting Date",$D$7),0)))</t>
  </si>
  <si>
    <t>=IF($F$5="NO",0,IF(Y146=0,0,ROUND(-NL("SUM","G/L Entry","Amount","G/L Account No.","@@"&amp;$G146,"Fund No.","@@"&amp;Y$15,"Company=",$D$4,"Transaction Type",$D$5,"Posting Date",$D$7),0)))</t>
  </si>
  <si>
    <t>=SUM(N146:AB146)</t>
  </si>
  <si>
    <t>=ABS(SUM(N146:AB146))</t>
  </si>
  <si>
    <t>=IF($G147="","",NL("Rows","G/L Account","Name","No.",$G147,"Company=",$D$4))</t>
  </si>
  <si>
    <t>=IF($F$5="NO",0,IF(M147=0,0,ROUND(-NL("SUM","G/L Entry","Amount","G/L Account No.","@@"&amp;$G147,"Fund No.","@@"&amp;M$15,"Company=",$D$4,"Transaction Type",$D$5,"Posting Date",$D$7),0)))</t>
  </si>
  <si>
    <t>=IF($F$5="NO",0,IF(P147=0,0,ROUND(-NL("SUM","G/L Entry","Amount","G/L Account No.","@@"&amp;$G147,"Fund No.","@@"&amp;P$15,"Company=",$D$4,"Transaction Type",$D$5,"Posting Date",$D$7),0)))</t>
  </si>
  <si>
    <t>=IF($F$5="NO",0,IF(S147=0,0,ROUND(-NL("SUM","G/L Entry","Amount","G/L Account No.","@@"&amp;$G147,"Fund No.","@@"&amp;S$15,"Company=",$D$4,"Transaction Type",$D$5,"Posting Date",$D$7),0)))</t>
  </si>
  <si>
    <t>=IF($F$5="NO",0,IF(V147=0,0,ROUND(-NL("SUM","G/L Entry","Amount","G/L Account No.","@@"&amp;$G147,"Fund No.","@@"&amp;V$15,"Company=",$D$4,"Transaction Type",$D$5,"Posting Date",$D$7),0)))</t>
  </si>
  <si>
    <t>=IF($F$5="NO",0,IF(Y147=0,0,ROUND(-NL("SUM","G/L Entry","Amount","G/L Account No.","@@"&amp;$G147,"Fund No.","@@"&amp;Y$15,"Company=",$D$4,"Transaction Type",$D$5,"Posting Date",$D$7),0)))</t>
  </si>
  <si>
    <t>=SUM(N147:AB147)</t>
  </si>
  <si>
    <t>=ABS(SUM(N147:AB147))</t>
  </si>
  <si>
    <t>=IF($G148="","",NL("Rows","G/L Account","Name","No.",$G148,"Company=",$D$4))</t>
  </si>
  <si>
    <t>=IF($F$5="NO",0,IF(M148=0,0,ROUND(-NL("SUM","G/L Entry","Amount","G/L Account No.","@@"&amp;$G148,"Fund No.","@@"&amp;M$15,"Company=",$D$4,"Transaction Type",$D$5,"Posting Date",$D$7),0)))</t>
  </si>
  <si>
    <t>=IF($F$5="NO",0,IF(P148=0,0,ROUND(-NL("SUM","G/L Entry","Amount","G/L Account No.","@@"&amp;$G148,"Fund No.","@@"&amp;P$15,"Company=",$D$4,"Transaction Type",$D$5,"Posting Date",$D$7),0)))</t>
  </si>
  <si>
    <t>=IF($F$5="NO",0,IF(S148=0,0,ROUND(-NL("SUM","G/L Entry","Amount","G/L Account No.","@@"&amp;$G148,"Fund No.","@@"&amp;S$15,"Company=",$D$4,"Transaction Type",$D$5,"Posting Date",$D$7),0)))</t>
  </si>
  <si>
    <t>=IF($F$5="NO",0,IF(V148=0,0,ROUND(-NL("SUM","G/L Entry","Amount","G/L Account No.","@@"&amp;$G148,"Fund No.","@@"&amp;V$15,"Company=",$D$4,"Transaction Type",$D$5,"Posting Date",$D$7),0)))</t>
  </si>
  <si>
    <t>=IF($F$5="NO",0,IF(Y148=0,0,ROUND(-NL("SUM","G/L Entry","Amount","G/L Account No.","@@"&amp;$G148,"Fund No.","@@"&amp;Y$15,"Company=",$D$4,"Transaction Type",$D$5,"Posting Date",$D$7),0)))</t>
  </si>
  <si>
    <t>=SUM(N148:AB148)</t>
  </si>
  <si>
    <t>=ABS(SUM(N148:AB148))</t>
  </si>
  <si>
    <t>=SUM(N143:N149)</t>
  </si>
  <si>
    <t>=SUM(Q143:Q149)</t>
  </si>
  <si>
    <t>=SUM(T143:T149)</t>
  </si>
  <si>
    <t>=SUM(W143:W149)</t>
  </si>
  <si>
    <t>=SUM(Z143:Z149)</t>
  </si>
  <si>
    <t>=SUM(N150:AB150)</t>
  </si>
  <si>
    <t>=ABS(SUM(N150:AB150))</t>
  </si>
  <si>
    <t>=NL("Rows","G/L Entry","G/L Account No.","G/L Account No.",$D$151,"Fund No.",$D$8,"Company=",$D$4,"Posting Date",$D$7,"Transaction Type",$D$5)</t>
  </si>
  <si>
    <t>=IF($G152="","",NL("Rows","G/L Account","Name","No.",$G152,"Company=",$D$4))</t>
  </si>
  <si>
    <t>=IF($F$5="NO",0,IF(M152=0,0,ROUND(-NL("SUM","G/L Entry","Amount","G/L Account No.","@@"&amp;$G152,"Fund No.","@@"&amp;M$15,"Company=",$D$4,"Transaction Type",$D$5,"Posting Date",$D$7),0)))</t>
  </si>
  <si>
    <t>=IF($F$5="NO",0,IF(P152=0,0,ROUND(-NL("SUM","G/L Entry","Amount","G/L Account No.","@@"&amp;$G152,"Fund No.","@@"&amp;P$15,"Company=",$D$4,"Transaction Type",$D$5,"Posting Date",$D$7),0)))</t>
  </si>
  <si>
    <t>=IF($F$5="NO",0,IF(S152=0,0,ROUND(-NL("SUM","G/L Entry","Amount","G/L Account No.","@@"&amp;$G152,"Fund No.","@@"&amp;S$15,"Company=",$D$4,"Transaction Type",$D$5,"Posting Date",$D$7),0)))</t>
  </si>
  <si>
    <t>=IF($F$5="NO",0,IF(V152=0,0,ROUND(-NL("SUM","G/L Entry","Amount","G/L Account No.","@@"&amp;$G152,"Fund No.","@@"&amp;V$15,"Company=",$D$4,"Transaction Type",$D$5,"Posting Date",$D$7),0)))</t>
  </si>
  <si>
    <t>=IF($F$5="NO",0,IF(Y152=0,0,ROUND(-NL("SUM","G/L Entry","Amount","G/L Account No.","@@"&amp;$G152,"Fund No.","@@"&amp;Y$15,"Company=",$D$4,"Transaction Type",$D$5,"Posting Date",$D$7),0)))</t>
  </si>
  <si>
    <t>=SUM(N152:AB152)</t>
  </si>
  <si>
    <t>=ABS(SUM(N152:AB152))</t>
  </si>
  <si>
    <t>=SUM(N151:N153)</t>
  </si>
  <si>
    <t>=SUM(Q151:Q153)</t>
  </si>
  <si>
    <t>=SUM(T151:T153)</t>
  </si>
  <si>
    <t>=SUM(W151:W153)</t>
  </si>
  <si>
    <t>=SUM(Z151:Z153)</t>
  </si>
  <si>
    <t>=SUM(N154:AB154)</t>
  </si>
  <si>
    <t>=ABS(SUM(N154:AB154))</t>
  </si>
  <si>
    <t>=IF(OR($F$5="NO",M155="0"),0,SUM(N81-N107-N175-N132-N133-N134))</t>
  </si>
  <si>
    <t>=IF(AND(P$16&gt;=0,P$16&lt;=399),"0..399|600..999",IF(AND(P$16&gt;=600,P$16&lt;=999),"0..399|600..999","0"))</t>
  </si>
  <si>
    <t>=IF(OR($F$5="NO",P155="0"),0,SUM(Q81-Q107-Q175-Q132-Q133-Q134))</t>
  </si>
  <si>
    <t>=IF(AND(S$16&gt;=0,S$16&lt;=399),"0..399|600..999",IF(AND(S$16&gt;=600,S$16&lt;=999),"0..399|600..999","0"))</t>
  </si>
  <si>
    <t>=IF(OR($F$5="NO",S155="0"),0,SUM(T81-T107-T175-T132-T133-T134))</t>
  </si>
  <si>
    <t>=IF(AND(V$16&gt;=0,V$16&lt;=399),"0..399|600..999",IF(AND(V$16&gt;=600,V$16&lt;=999),"0..399|600..999","0"))</t>
  </si>
  <si>
    <t>=IF(OR($F$5="NO",V155="0"),0,SUM(W81-W107-W175-W132-W133-W134))</t>
  </si>
  <si>
    <t>=IF(AND(Y$16&gt;=0,Y$16&lt;=399),"0..399|600..999",IF(AND(Y$16&gt;=600,Y$16&lt;=999),"0..399|600..999","0"))</t>
  </si>
  <si>
    <t>=IF(OR($F$5="NO",Y155="0"),0,SUM(Z81-Z107-Z175-Z132-Z133-Z134))</t>
  </si>
  <si>
    <t>=SUM(N155:AB155)</t>
  </si>
  <si>
    <t>=ABS(SUM(N155:AB155))</t>
  </si>
  <si>
    <t>=IF($F$5="YES",0,-ROUND(NL("SUM","G/L Entry","Amount","G/L Account No.",$D157,"Global Dimension 2 Code",$E157,"Fund No.",M$16,"Company=",$D$4,"Transaction Type",$D$5,"Posting Date",$D$7),0))</t>
  </si>
  <si>
    <t>=IF($F$5="YES",0,-ROUND(NL("SUM","G/L Entry","Amount","G/L Account No.",$D157,"Global Dimension 2 Code",$E157,"Fund No.",P$16,"Company=",$D$4,"Transaction Type",$D$5,"Posting Date",$D$7),0))</t>
  </si>
  <si>
    <t>=IF($F$5="YES",0,-ROUND(NL("SUM","G/L Entry","Amount","G/L Account No.",$D157,"Global Dimension 2 Code",$E157,"Fund No.",S$16,"Company=",$D$4,"Transaction Type",$D$5,"Posting Date",$D$7),0))</t>
  </si>
  <si>
    <t>=IF($F$5="YES",0,-ROUND(NL("SUM","G/L Entry","Amount","G/L Account No.",$D157,"Global Dimension 2 Code",$E157,"Fund No.",V$16,"Company=",$D$4,"Transaction Type",$D$5,"Posting Date",$D$7),0))</t>
  </si>
  <si>
    <t>=IF($F$5="YES",0,-ROUND(NL("SUM","G/L Entry","Amount","G/L Account No.",$D157,"Global Dimension 2 Code",$E157,"Fund No.",Y$16,"Company=",$D$4,"Transaction Type",$D$5,"Posting Date",$D$7),0))</t>
  </si>
  <si>
    <t>=ABS(SUM(N157:AB157))</t>
  </si>
  <si>
    <t>=IF($F$5="YES",0,-ROUND(NL("SUM","G/L Entry","Amount","G/L Account No.",$D158,"Fund No.",M$16,"Company=",$D$4,"Transaction Type",$D$5,"Posting Date",$D$7),0))</t>
  </si>
  <si>
    <t>=IF($F$5="YES",0,-ROUND(NL("SUM","G/L Entry","Amount","G/L Account No.",$D158,"Fund No.",P$16,"Company=",$D$4,"Transaction Type",$D$5,"Posting Date",$D$7),0))</t>
  </si>
  <si>
    <t>=IF($F$5="YES",0,-ROUND(NL("SUM","G/L Entry","Amount","G/L Account No.",$D158,"Fund No.",S$16,"Company=",$D$4,"Transaction Type",$D$5,"Posting Date",$D$7),0))</t>
  </si>
  <si>
    <t>=IF($F$5="YES",0,-ROUND(NL("SUM","G/L Entry","Amount","G/L Account No.",$D158,"Fund No.",V$16,"Company=",$D$4,"Transaction Type",$D$5,"Posting Date",$D$7),0))</t>
  </si>
  <si>
    <t>=IF($F$5="YES",0,-ROUND(NL("SUM","G/L Entry","Amount","G/L Account No.",$D158,"Fund No.",Y$16,"Company=",$D$4,"Transaction Type",$D$5,"Posting Date",$D$7),0))</t>
  </si>
  <si>
    <t>=ABS(SUM(N158:AB158))</t>
  </si>
  <si>
    <t>=IF($F$5="YES",0,-ROUND(NL("SUM","G/L Entry","Amount","G/L Account No.",$D159,"Fund No.",M$16,"Company=",$D$4,"Transaction Type",$D$5,"Posting Date",$D$7),0))</t>
  </si>
  <si>
    <t>=IF($F$5="YES",0,-ROUND(NL("SUM","G/L Entry","Amount","G/L Account No.",$D159,"Fund No.",P$16,"Company=",$D$4,"Transaction Type",$D$5,"Posting Date",$D$7),0))</t>
  </si>
  <si>
    <t>=IF($F$5="YES",0,-ROUND(NL("SUM","G/L Entry","Amount","G/L Account No.",$D159,"Fund No.",S$16,"Company=",$D$4,"Transaction Type",$D$5,"Posting Date",$D$7),0))</t>
  </si>
  <si>
    <t>=IF($F$5="YES",0,-ROUND(NL("SUM","G/L Entry","Amount","G/L Account No.",$D159,"Fund No.",V$16,"Company=",$D$4,"Transaction Type",$D$5,"Posting Date",$D$7),0))</t>
  </si>
  <si>
    <t>=IF($F$5="YES",0,-ROUND(NL("SUM","G/L Entry","Amount","G/L Account No.",$D159,"Fund No.",Y$16,"Company=",$D$4,"Transaction Type",$D$5,"Posting Date",$D$7),0))</t>
  </si>
  <si>
    <t>=ABS(SUM(N159:AB159))</t>
  </si>
  <si>
    <t>=IF($F$5="YES",0,-ROUND(NL("SUM","G/L Entry","Amount","G/L Account No.",$D160,"Fund No.",M$16,"Company=",$D$4,"Transaction Type",$D$5,"Posting Date",$D$7),0))</t>
  </si>
  <si>
    <t>=IF($F$5="YES",0,-ROUND(NL("SUM","G/L Entry","Amount","G/L Account No.",$D160,"Fund No.",P$16,"Company=",$D$4,"Transaction Type",$D$5,"Posting Date",$D$7),0))</t>
  </si>
  <si>
    <t>=IF($F$5="YES",0,-ROUND(NL("SUM","G/L Entry","Amount","G/L Account No.",$D160,"Fund No.",S$16,"Company=",$D$4,"Transaction Type",$D$5,"Posting Date",$D$7),0))</t>
  </si>
  <si>
    <t>=IF($F$5="YES",0,-ROUND(NL("SUM","G/L Entry","Amount","G/L Account No.",$D160,"Fund No.",V$16,"Company=",$D$4,"Transaction Type",$D$5,"Posting Date",$D$7),0))</t>
  </si>
  <si>
    <t>=IF($F$5="YES",0,-ROUND(NL("SUM","G/L Entry","Amount","G/L Account No.",$D160,"Fund No.",Y$16,"Company=",$D$4,"Transaction Type",$D$5,"Posting Date",$D$7),0))</t>
  </si>
  <si>
    <t>=ABS(SUM(N160:AB160))</t>
  </si>
  <si>
    <t>=IF($F$5="YES",0,ROUND(-NL("SUM","G/L Entry","Amount","G/L Account No.",$D161,"Fund No.",M$16,"Company=",$D$4,"Transaction Type",$D$5,"Posting Date",$D$7),0))</t>
  </si>
  <si>
    <t>=IF($F$5="YES",0,ROUND(-NL("SUM","G/L Entry","Amount","G/L Account No.",$D161,"Fund No.",P$16,"Company=",$D$4,"Transaction Type",$D$5,"Posting Date",$D$7),0))</t>
  </si>
  <si>
    <t>=IF($F$5="YES",0,ROUND(-NL("SUM","G/L Entry","Amount","G/L Account No.",$D161,"Fund No.",S$16,"Company=",$D$4,"Transaction Type",$D$5,"Posting Date",$D$7),0))</t>
  </si>
  <si>
    <t>=IF($F$5="YES",0,ROUND(-NL("SUM","G/L Entry","Amount","G/L Account No.",$D161,"Fund No.",V$16,"Company=",$D$4,"Transaction Type",$D$5,"Posting Date",$D$7),0))</t>
  </si>
  <si>
    <t>=IF($F$5="YES",0,ROUND(-NL("SUM","G/L Entry","Amount","G/L Account No.",$D161,"Fund No.",Y$16,"Company=",$D$4,"Transaction Type",$D$5,"Posting Date",$D$7),0))</t>
  </si>
  <si>
    <t>=ABS(SUM(N161:AB161))</t>
  </si>
  <si>
    <t>=IF($F$5="YES",0,ROUND(-NL("SUM","G/L Entry","Amount","G/L Account No.",$D162,"Fund No.",M$16,"Company=",$D$4,"Transaction Type",$D$5,"Posting Date",$D$7),0))</t>
  </si>
  <si>
    <t>=IF($F$5="YES",0,ROUND(-NL("SUM","G/L Entry","Amount","G/L Account No.",$D162,"Fund No.",P$16,"Company=",$D$4,"Transaction Type",$D$5,"Posting Date",$D$7),0))</t>
  </si>
  <si>
    <t>=IF($F$5="YES",0,ROUND(-NL("SUM","G/L Entry","Amount","G/L Account No.",$D162,"Fund No.",S$16,"Company=",$D$4,"Transaction Type",$D$5,"Posting Date",$D$7),0))</t>
  </si>
  <si>
    <t>=IF($F$5="YES",0,ROUND(-NL("SUM","G/L Entry","Amount","G/L Account No.",$D162,"Fund No.",V$16,"Company=",$D$4,"Transaction Type",$D$5,"Posting Date",$D$7),0))</t>
  </si>
  <si>
    <t>=IF($F$5="YES",0,ROUND(-NL("SUM","G/L Entry","Amount","G/L Account No.",$D162,"Fund No.",Y$16,"Company=",$D$4,"Transaction Type",$D$5,"Posting Date",$D$7),0))</t>
  </si>
  <si>
    <t>=ABS(SUM(N162:AB162))</t>
  </si>
  <si>
    <t>=SUM(AD164:AD172)</t>
  </si>
  <si>
    <t>=IF(AD165=0,"Hide","Show")</t>
  </si>
  <si>
    <t>=IF(M165="0",0,-(SUM(M161+M162)))</t>
  </si>
  <si>
    <t>=IF(AND(P$16&gt;=400,P$16&lt;=599),"400..599","0")</t>
  </si>
  <si>
    <t>=IF(P165="0",0,-(SUM(P161+P162)))</t>
  </si>
  <si>
    <t>=IF(AND(S$16&gt;=400,S$16&lt;=599),"400..599","0")</t>
  </si>
  <si>
    <t>=IF(S165="0",0,-(SUM(S161+S162)))</t>
  </si>
  <si>
    <t>=IF(AND(V$16&gt;=400,V$16&lt;=599),"400..599","0")</t>
  </si>
  <si>
    <t>=IF(V165="0",0,-(SUM(V161+V162)))</t>
  </si>
  <si>
    <t>=IF(AND(Y$16&gt;=400,Y$16&lt;=599),"400..599","0")</t>
  </si>
  <si>
    <t>=IF(Y165="0",0,-(SUM(Y161+Y162)))</t>
  </si>
  <si>
    <t>=SUM(N165:AB165)</t>
  </si>
  <si>
    <t>=ABS(SUM(N165:AB165))</t>
  </si>
  <si>
    <t>=IF(AD166=0,"Hide","Show")</t>
  </si>
  <si>
    <t>=IF(M166="0",0,IF(M159&lt;&gt;0,M159,IF(-SUM(M157+M158+M160)&lt;0,0,-(SUM(M157+M158+M160)))))</t>
  </si>
  <si>
    <t>=IF(P166="0",0,IF(P159&lt;&gt;0,P159,IF(-SUM(P157+P158+P160)&lt;0,0,-(SUM(P157+P158+P160)))))</t>
  </si>
  <si>
    <t>=IF(S166="0",0,IF(S159&lt;&gt;0,S159,IF(-SUM(S157+S158+S160)&lt;0,0,-(SUM(S157+S158+S160)))))</t>
  </si>
  <si>
    <t>=IF(V166="0",0,IF(V159&lt;&gt;0,V159,IF(-SUM(V157+V158+V160)&lt;0,0,-(SUM(V157+V158+V160)))))</t>
  </si>
  <si>
    <t>=IF(Y166="0",0,IF(Y159&lt;&gt;0,Y159,IF(-SUM(Y157+Y158+Y160)&lt;0,0,-(SUM(Y157+Y158+Y160)))))</t>
  </si>
  <si>
    <t>=SUM(N166:AB166)</t>
  </si>
  <si>
    <t>=ABS(SUM(N166:AB166))</t>
  </si>
  <si>
    <t>=IF(AD167=0,"Hide","Show")</t>
  </si>
  <si>
    <t>=IF($F$5="YES",0,IF(M167="0",0,ROUND(-NL("SUM","G/L Entry","Amount","G/L Account No.","@@"&amp;$G167,"Fund No.",M$15,"Company=",$D$4,"Transaction Type",$D$5,"Posting Date",$D$7),0)))</t>
  </si>
  <si>
    <t>=IF($F$5="YES",0,IF(P167="0",0,ROUND(-NL("SUM","G/L Entry","Amount","G/L Account No.","@@"&amp;$G167,"Fund No.",P$15,"Company=",$D$4,"Transaction Type",$D$5,"Posting Date",$D$7),0)))</t>
  </si>
  <si>
    <t>=IF($F$5="YES",0,IF(S167="0",0,ROUND(-NL("SUM","G/L Entry","Amount","G/L Account No.","@@"&amp;$G167,"Fund No.",S$15,"Company=",$D$4,"Transaction Type",$D$5,"Posting Date",$D$7),0)))</t>
  </si>
  <si>
    <t>=IF($F$5="YES",0,IF(V167="0",0,ROUND(-NL("SUM","G/L Entry","Amount","G/L Account No.","@@"&amp;$G167,"Fund No.",V$15,"Company=",$D$4,"Transaction Type",$D$5,"Posting Date",$D$7),0)))</t>
  </si>
  <si>
    <t>=IF($F$5="YES",0,IF(Y167="0",0,ROUND(-NL("SUM","G/L Entry","Amount","G/L Account No.","@@"&amp;$G167,"Fund No.",Y$15,"Company=",$D$4,"Transaction Type",$D$5,"Posting Date",$D$7),0)))</t>
  </si>
  <si>
    <t>=SUM(N167:AB167)</t>
  </si>
  <si>
    <t>=ABS(SUM(N167:AB167))</t>
  </si>
  <si>
    <t>=IF(AD168=0,"Hide","Show")</t>
  </si>
  <si>
    <t>=NL("Rows","G/L Entry","G/L Account No.","G/L Account No.",$D$112,"Fund No.",$D$8,"Company=",$D$4,"Posting Date",$D$7,"Transaction Type",$D$5)</t>
  </si>
  <si>
    <t>=IF($G168="","",NL("Rows","G/L Account","Name","No.",$G168,"Company=",$D$4))</t>
  </si>
  <si>
    <t>=IF($F$5="YES",0,IF(M168="0",0,ROUND(-NL("SUM","G/L Entry","Amount","G/L Account No.","@@"&amp;$G168,"Fund No.",M$15,"Company=",$D$4,"Transaction Type",$D$5,"Posting Date",$D$7),0)))</t>
  </si>
  <si>
    <t>=IF($F$5="YES",0,IF(P168="0",0,ROUND(-NL("SUM","G/L Entry","Amount","G/L Account No.","@@"&amp;$G168,"Fund No.",P$15,"Company=",$D$4,"Transaction Type",$D$5,"Posting Date",$D$7),0)))</t>
  </si>
  <si>
    <t>=IF($F$5="YES",0,IF(S168="0",0,ROUND(-NL("SUM","G/L Entry","Amount","G/L Account No.","@@"&amp;$G168,"Fund No.",S$15,"Company=",$D$4,"Transaction Type",$D$5,"Posting Date",$D$7),0)))</t>
  </si>
  <si>
    <t>=IF($F$5="YES",0,IF(V168="0",0,ROUND(-NL("SUM","G/L Entry","Amount","G/L Account No.","@@"&amp;$G168,"Fund No.",V$15,"Company=",$D$4,"Transaction Type",$D$5,"Posting Date",$D$7),0)))</t>
  </si>
  <si>
    <t>=IF($F$5="YES",0,IF(Y168="0",0,ROUND(-NL("SUM","G/L Entry","Amount","G/L Account No.","@@"&amp;$G168,"Fund No.",Y$15,"Company=",$D$4,"Transaction Type",$D$5,"Posting Date",$D$7),0)))</t>
  </si>
  <si>
    <t>=SUM(N168:AB168)</t>
  </si>
  <si>
    <t>=ABS(SUM(N168:AB168))</t>
  </si>
  <si>
    <t>=IF(AD169=0,"Hide","Show")</t>
  </si>
  <si>
    <t>=IF($G169="","",NL("Rows","G/L Account","Name","No.",$G169,"Company=",$D$4))</t>
  </si>
  <si>
    <t>=IF($F$5="YES",0,IF(M169="0",0,ROUND(-NL("SUM","G/L Entry","Amount","G/L Account No.","@@"&amp;$G169,"Fund No.",M$15,"Company=",$D$4,"Transaction Type",$D$5,"Posting Date",$D$7),0)))</t>
  </si>
  <si>
    <t>=IF($F$5="YES",0,IF(P169="0",0,ROUND(-NL("SUM","G/L Entry","Amount","G/L Account No.","@@"&amp;$G169,"Fund No.",P$15,"Company=",$D$4,"Transaction Type",$D$5,"Posting Date",$D$7),0)))</t>
  </si>
  <si>
    <t>=IF($F$5="YES",0,IF(S169="0",0,ROUND(-NL("SUM","G/L Entry","Amount","G/L Account No.","@@"&amp;$G169,"Fund No.",S$15,"Company=",$D$4,"Transaction Type",$D$5,"Posting Date",$D$7),0)))</t>
  </si>
  <si>
    <t>=IF($F$5="YES",0,IF(V169="0",0,ROUND(-NL("SUM","G/L Entry","Amount","G/L Account No.","@@"&amp;$G169,"Fund No.",V$15,"Company=",$D$4,"Transaction Type",$D$5,"Posting Date",$D$7),0)))</t>
  </si>
  <si>
    <t>=IF($F$5="YES",0,IF(Y169="0",0,ROUND(-NL("SUM","G/L Entry","Amount","G/L Account No.","@@"&amp;$G169,"Fund No.",Y$15,"Company=",$D$4,"Transaction Type",$D$5,"Posting Date",$D$7),0)))</t>
  </si>
  <si>
    <t>=SUM(N169:AB169)</t>
  </si>
  <si>
    <t>=ABS(SUM(N169:AB169))</t>
  </si>
  <si>
    <t>=IF(AD170=0,"Hide","Show")</t>
  </si>
  <si>
    <t>=IF($G170="","",NL("Rows","G/L Account","Name","No.",$G170,"Company=",$D$4))</t>
  </si>
  <si>
    <t>=IF($F$5="YES",0,IF(M170="0",0,ROUND(-NL("SUM","G/L Entry","Amount","G/L Account No.","@@"&amp;$G170,"Fund No.",M$15,"Company=",$D$4,"Transaction Type",$D$5,"Posting Date",$D$7),0)))</t>
  </si>
  <si>
    <t>=IF($F$5="YES",0,IF(P170="0",0,ROUND(-NL("SUM","G/L Entry","Amount","G/L Account No.","@@"&amp;$G170,"Fund No.",P$15,"Company=",$D$4,"Transaction Type",$D$5,"Posting Date",$D$7),0)))</t>
  </si>
  <si>
    <t>=IF($F$5="YES",0,IF(S170="0",0,ROUND(-NL("SUM","G/L Entry","Amount","G/L Account No.","@@"&amp;$G170,"Fund No.",S$15,"Company=",$D$4,"Transaction Type",$D$5,"Posting Date",$D$7),0)))</t>
  </si>
  <si>
    <t>=IF($F$5="YES",0,IF(V170="0",0,ROUND(-NL("SUM","G/L Entry","Amount","G/L Account No.","@@"&amp;$G170,"Fund No.",V$15,"Company=",$D$4,"Transaction Type",$D$5,"Posting Date",$D$7),0)))</t>
  </si>
  <si>
    <t>=IF($F$5="YES",0,IF(Y170="0",0,ROUND(-NL("SUM","G/L Entry","Amount","G/L Account No.","@@"&amp;$G170,"Fund No.",Y$15,"Company=",$D$4,"Transaction Type",$D$5,"Posting Date",$D$7),0)))</t>
  </si>
  <si>
    <t>=SUM(N170:AB170)</t>
  </si>
  <si>
    <t>=ABS(SUM(N170:AB170))</t>
  </si>
  <si>
    <t>=IF(AD172=0,"Hide","Show")</t>
  </si>
  <si>
    <t>=IF(M172="0",0,SUM(N81-N107-N175))</t>
  </si>
  <si>
    <t>=IF(P172="0",0,SUM(Q81-Q107-Q175))</t>
  </si>
  <si>
    <t>=IF(S172="0",0,SUM(T81-T107-T175))</t>
  </si>
  <si>
    <t>=IF(V172="0",0,SUM(W81-W107-W175))</t>
  </si>
  <si>
    <t>=IF(Y172="0",0,SUM(Z81-Z107-Z175))</t>
  </si>
  <si>
    <t>=SUM(N172:AB172)</t>
  </si>
  <si>
    <t>=ABS(SUM(N172:AB172))</t>
  </si>
  <si>
    <t>=IF(AD173=0,"Hide","Show")</t>
  </si>
  <si>
    <t>=ABS(SUM(N173:AB173))</t>
  </si>
  <si>
    <t>=IF(SUM(AD110:AD173)=0,"Hide","Show")</t>
  </si>
  <si>
    <t>=SUM(N158,N150,N142,N130,N135:N137)+SUM(N116:N124)+SUM(N165:N171)</t>
  </si>
  <si>
    <t>=SUM(Q158,Q150,Q142,Q130,Q135:Q137)+SUM(Q116:Q124)+SUM(Q165:Q171)</t>
  </si>
  <si>
    <t>=SUM(T158,T150,T142,T130,T135:T137)+SUM(T116:T124)+SUM(T165:T171)</t>
  </si>
  <si>
    <t>=SUM(W158,W150,W142,W130,W135:W137)+SUM(W116:W124)+SUM(W165:W171)</t>
  </si>
  <si>
    <t>=SUM(Z158,Z150,Z142,Z130,Z135:Z137)+SUM(Z116:Z124)+SUM(Z165:Z171)</t>
  </si>
  <si>
    <t>=SUM(N175:AB175)</t>
  </si>
  <si>
    <t>=ABS(SUM(N175:AB175))</t>
  </si>
  <si>
    <t>="TOTAL "&amp;I110</t>
  </si>
  <si>
    <t>=N113+N114+N172+N125+N175</t>
  </si>
  <si>
    <t>=Q113+Q114+Q172+Q125+Q175</t>
  </si>
  <si>
    <t>=T113+T114+T172+T125+T175</t>
  </si>
  <si>
    <t>=W113+W114+W172+W125+W175</t>
  </si>
  <si>
    <t>=Z113+Z114+Z172+Z125+Z175</t>
  </si>
  <si>
    <t>=AC113+AC114+AC172+AC125+AC175</t>
  </si>
  <si>
    <t>=ABS(SUM(N176:AB176))</t>
  </si>
  <si>
    <t>=IF(I181&lt;&gt;"net assets","Hide","Show")</t>
  </si>
  <si>
    <t>=IF(OR(I181="net assets",AD176=0),"Hide","Show")</t>
  </si>
  <si>
    <t>=B181</t>
  </si>
  <si>
    <t>=IF(OR(AD163=0,AD110=0),0,AD163+AD110)</t>
  </si>
  <si>
    <t>=IF(OR(I181="net assets",AD181=0),"Hide","Show")</t>
  </si>
  <si>
    <t>=I110</t>
  </si>
  <si>
    <t>=SUM(N176+N107)</t>
  </si>
  <si>
    <t>=SUM(Q176+Q107)</t>
  </si>
  <si>
    <t>=SUM(T176+T107)</t>
  </si>
  <si>
    <t>=SUM(W176+W107)</t>
  </si>
  <si>
    <t>=SUM(Z176+Z107)</t>
  </si>
  <si>
    <t>=SUM(N181:AB181)</t>
  </si>
  <si>
    <t>=ABS(SUM(N181:AB181))</t>
  </si>
  <si>
    <t>=ABS(SUM(N81+N107+N181))</t>
  </si>
  <si>
    <t>=ABS(SUM(Q81+Q107+Q181))</t>
  </si>
  <si>
    <t>=ABS(SUM(T81+T107+T181))</t>
  </si>
  <si>
    <t>=ABS(SUM(W81+W107+W181))</t>
  </si>
  <si>
    <t>=ABS(SUM(Z81+Z107+Z181))</t>
  </si>
  <si>
    <t>=SUM(N183:AB183)</t>
  </si>
  <si>
    <t>=ABS(SUM(N183:AB183))</t>
  </si>
  <si>
    <t>=B190</t>
  </si>
  <si>
    <t>=B191</t>
  </si>
  <si>
    <t>=B192</t>
  </si>
  <si>
    <t>=B193</t>
  </si>
  <si>
    <t>=SUM(N107+N176-N81)</t>
  </si>
  <si>
    <t>=SUM(Q107+Q176-Q81)</t>
  </si>
  <si>
    <t>=SUM(T107+T176-T81)</t>
  </si>
  <si>
    <t>=SUM(W107+W176-W81)</t>
  </si>
  <si>
    <t>=SUM(Z107+Z176-Z81)</t>
  </si>
  <si>
    <t>=SUM(N192:AB192)</t>
  </si>
  <si>
    <t>=B194</t>
  </si>
  <si>
    <t>=B195</t>
  </si>
  <si>
    <t>=IF($F$5="YES",0,NL("SUM","G/L Entry","Amount","G/L Account No.",$D194,"Fund No.","@@"&amp;M$15,"Company=",$D$4,"Transaction Type",$D$5,"Posting Date",$D$7))</t>
  </si>
  <si>
    <t>=IF($F$5="YES",0,NL("SUM","G/L Entry","Amount","G/L Account No.",$D194,"Fund No.","@@"&amp;P$15,"Company=",$D$4,"Transaction Type",$D$5,"Posting Date",$D$7))</t>
  </si>
  <si>
    <t>=IF($F$5="YES",0,NL("SUM","G/L Entry","Amount","G/L Account No.",$D194,"Fund No.","@@"&amp;S$15,"Company=",$D$4,"Transaction Type",$D$5,"Posting Date",$D$7))</t>
  </si>
  <si>
    <t>=IF($F$5="YES",0,NL("SUM","G/L Entry","Amount","G/L Account No.",$D194,"Fund No.","@@"&amp;V$15,"Company=",$D$4,"Transaction Type",$D$5,"Posting Date",$D$7))</t>
  </si>
  <si>
    <t>=IF($F$5="YES",0,NL("SUM","G/L Entry","Amount","G/L Account No.",$D194,"Fund No.","@@"&amp;Y$15,"Company=",$D$4,"Transaction Type",$D$5,"Posting Date",$D$7))</t>
  </si>
  <si>
    <t>=SUM(N194:AB194)</t>
  </si>
  <si>
    <t>=B196</t>
  </si>
  <si>
    <t>=IF($F$5="YES",0,NL("SUM","G/L Entry","Amount","G/L Account No.",$D195,"Fund No.","@@"&amp;M$15,"Company=",$D$4,"Transaction Type",$D$5,"Posting Date",$D$7))</t>
  </si>
  <si>
    <t>=IF($F$5="YES",0,NL("SUM","G/L Entry","Amount","G/L Account No.",$D195,"Fund No.","@@"&amp;P$15,"Company=",$D$4,"Transaction Type",$D$5,"Posting Date",$D$7))</t>
  </si>
  <si>
    <t>=IF($F$5="YES",0,NL("SUM","G/L Entry","Amount","G/L Account No.",$D195,"Fund No.","@@"&amp;S$15,"Company=",$D$4,"Transaction Type",$D$5,"Posting Date",$D$7))</t>
  </si>
  <si>
    <t>=IF($F$5="YES",0,NL("SUM","G/L Entry","Amount","G/L Account No.",$D195,"Fund No.","@@"&amp;V$15,"Company=",$D$4,"Transaction Type",$D$5,"Posting Date",$D$7))</t>
  </si>
  <si>
    <t>=IF($F$5="YES",0,NL("SUM","G/L Entry","Amount","G/L Account No.",$D195,"Fund No.","@@"&amp;Y$15,"Company=",$D$4,"Transaction Type",$D$5,"Posting Date",$D$7))</t>
  </si>
  <si>
    <t>=SUM(N195:AB195)</t>
  </si>
  <si>
    <t>=IF(AC196&lt;10,"hide","show")</t>
  </si>
  <si>
    <t>=ABS((N81-N107)-(N194+N195))</t>
  </si>
  <si>
    <t>=ABS((Q81-Q107)-(Q194+Q195))</t>
  </si>
  <si>
    <t>=ABS((T81-T107)-(T194+T195))</t>
  </si>
  <si>
    <t>=ABS((W81-W107)-(W194+W195))</t>
  </si>
  <si>
    <t>=ABS((Z81-Z107)-(Z194+Z195))</t>
  </si>
  <si>
    <t>=SUM(N196:AB196)</t>
  </si>
  <si>
    <t>=B197</t>
  </si>
  <si>
    <t>=IF($F$5="YES",0,NL("SUM","G/L Entry","Amount","G/L Account No.",$D198,"Fund No.","@@"&amp;M$15,"Company=",$D$4,"Transaction Type",$D$5,"Posting Date",$D$7))</t>
  </si>
  <si>
    <t>=IF($F$5="YES",0,NL("SUM","G/L Entry","Amount","G/L Account No.",$D198,"Fund No.","@@"&amp;P$15,"Company=",$D$4,"Transaction Type",$D$5,"Posting Date",$D$7))</t>
  </si>
  <si>
    <t>=IF($F$5="YES",0,NL("SUM","G/L Entry","Amount","G/L Account No.",$D198,"Fund No.","@@"&amp;S$15,"Company=",$D$4,"Transaction Type",$D$5,"Posting Date",$D$7))</t>
  </si>
  <si>
    <t>=IF($F$5="YES",0,NL("SUM","G/L Entry","Amount","G/L Account No.",$D198,"Fund No.","@@"&amp;V$15,"Company=",$D$4,"Transaction Type",$D$5,"Posting Date",$D$7))</t>
  </si>
  <si>
    <t>=IF($F$5="YES",0,NL("SUM","G/L Entry","Amount","G/L Account No.",$D198,"Fund No.","@@"&amp;Y$15,"Company=",$D$4,"Transaction Type",$D$5,"Posting Date",$D$7))</t>
  </si>
  <si>
    <t>=SUM(N198:AB198)</t>
  </si>
  <si>
    <t>=B198</t>
  </si>
  <si>
    <t>=IF($F$5="YES",0,NL("SUM","G/L Entry","Amount","G/L Account No.",$D199,"Fund No.","@@"&amp;M$15,"Company=",$D$4,"Transaction Type",$D$5,"Posting Date",$D$7))</t>
  </si>
  <si>
    <t>=IF($F$5="YES",0,NL("SUM","G/L Entry","Amount","G/L Account No.",$D199,"Fund No.","@@"&amp;P$15,"Company=",$D$4,"Transaction Type",$D$5,"Posting Date",$D$7))</t>
  </si>
  <si>
    <t>=IF($F$5="YES",0,NL("SUM","G/L Entry","Amount","G/L Account No.",$D199,"Fund No.","@@"&amp;S$15,"Company=",$D$4,"Transaction Type",$D$5,"Posting Date",$D$7))</t>
  </si>
  <si>
    <t>=IF($F$5="YES",0,NL("SUM","G/L Entry","Amount","G/L Account No.",$D199,"Fund No.","@@"&amp;V$15,"Company=",$D$4,"Transaction Type",$D$5,"Posting Date",$D$7))</t>
  </si>
  <si>
    <t>=IF($F$5="YES",0,NL("SUM","G/L Entry","Amount","G/L Account No.",$D199,"Fund No.","@@"&amp;Y$15,"Company=",$D$4,"Transaction Type",$D$5,"Posting Date",$D$7))</t>
  </si>
  <si>
    <t>=SUM(N199:AB199)</t>
  </si>
  <si>
    <t>=B199</t>
  </si>
  <si>
    <t>=B200</t>
  </si>
  <si>
    <t>=SUM(N198+N199)</t>
  </si>
  <si>
    <t>=SUM(Q198+Q199)</t>
  </si>
  <si>
    <t>=SUM(T198+T199)</t>
  </si>
  <si>
    <t>=SUM(W198+W199)</t>
  </si>
  <si>
    <t>=SUM(Z198+Z199)</t>
  </si>
  <si>
    <t>=SUM(N201:AB201)</t>
  </si>
  <si>
    <t>Auto+Hide+Lock+Formulas=Sheet2,Sheet9,Sheet10+FormulasOnly</t>
  </si>
  <si>
    <t>=NL("SUM","G/L Entry","Amount","G/L Account No.",$E$21,"Fund No.","@@"&amp;D23,"Company=",$C$4,"Transaction Type",$C$5,"Posting Date",$C$7)</t>
  </si>
  <si>
    <t>=NL("SUM","G/L Entry","Amount","G/L Account No.",F$21,"Fund No.","@@"&amp;$D23,"Company=",$C$4,"Transaction Type",$C$5,"Posting Date",$C$7)</t>
  </si>
  <si>
    <t>=NL("SUM","G/L Entry","Amount","G/L Account No.",G$21,"Fund No.","@@"&amp;$D23,"Company=",$C$4,"Transaction Type",$C$5,"Posting Date",$C$7)</t>
  </si>
  <si>
    <t>=NL("SUM","G/L Entry","Amount","G/L Account No.",H$21,"Fund No.","@@"&amp;$D23,"Company=",$C$4,"Transaction Type",$C$5,"Posting Date",$C$7)</t>
  </si>
  <si>
    <t>=IF((ABS(E23)+ABS(F23))+ABS(G23)+ABS(H23)=0,"..",D23)</t>
  </si>
  <si>
    <t>=NL("SUM","G/L Entry","Amount","G/L Account No.",$E$21,"Fund No.","@@"&amp;D24,"Company=",$C$4,"Transaction Type",$C$5,"Posting Date",$C$7)</t>
  </si>
  <si>
    <t>=NL("SUM","G/L Entry","Amount","G/L Account No.",F$21,"Fund No.","@@"&amp;$D24,"Company=",$C$4,"Transaction Type",$C$5,"Posting Date",$C$7)</t>
  </si>
  <si>
    <t>=NL("SUM","G/L Entry","Amount","G/L Account No.",G$21,"Fund No.","@@"&amp;$D24,"Company=",$C$4,"Transaction Type",$C$5,"Posting Date",$C$7)</t>
  </si>
  <si>
    <t>=NL("SUM","G/L Entry","Amount","G/L Account No.",H$21,"Fund No.","@@"&amp;$D24,"Company=",$C$4,"Transaction Type",$C$5,"Posting Date",$C$7)</t>
  </si>
  <si>
    <t>=IF((ABS(E24)+ABS(F24))+ABS(G24)+ABS(H24)=0,"..",D24)</t>
  </si>
  <si>
    <t>=NL("SUM","G/L Entry","Amount","G/L Account No.",$E$21,"Fund No.","@@"&amp;D25,"Company=",$C$4,"Transaction Type",$C$5,"Posting Date",$C$7)</t>
  </si>
  <si>
    <t>=NL("SUM","G/L Entry","Amount","G/L Account No.",F$21,"Fund No.","@@"&amp;$D25,"Company=",$C$4,"Transaction Type",$C$5,"Posting Date",$C$7)</t>
  </si>
  <si>
    <t>=NL("SUM","G/L Entry","Amount","G/L Account No.",G$21,"Fund No.","@@"&amp;$D25,"Company=",$C$4,"Transaction Type",$C$5,"Posting Date",$C$7)</t>
  </si>
  <si>
    <t>=NL("SUM","G/L Entry","Amount","G/L Account No.",H$21,"Fund No.","@@"&amp;$D25,"Company=",$C$4,"Transaction Type",$C$5,"Posting Date",$C$7)</t>
  </si>
  <si>
    <t>=IF((ABS(E25)+ABS(F25))+ABS(G25)+ABS(H25)=0,"..",D25)</t>
  </si>
  <si>
    <t>=NL("SUM","G/L Entry","Amount","G/L Account No.",$E$21,"Fund No.","@@"&amp;D26,"Company=",$C$4,"Transaction Type",$C$5,"Posting Date",$C$7)</t>
  </si>
  <si>
    <t>=NL("SUM","G/L Entry","Amount","G/L Account No.",F$21,"Fund No.","@@"&amp;$D26,"Company=",$C$4,"Transaction Type",$C$5,"Posting Date",$C$7)</t>
  </si>
  <si>
    <t>=NL("SUM","G/L Entry","Amount","G/L Account No.",G$21,"Fund No.","@@"&amp;$D26,"Company=",$C$4,"Transaction Type",$C$5,"Posting Date",$C$7)</t>
  </si>
  <si>
    <t>=NL("SUM","G/L Entry","Amount","G/L Account No.",H$21,"Fund No.","@@"&amp;$D26,"Company=",$C$4,"Transaction Type",$C$5,"Posting Date",$C$7)</t>
  </si>
  <si>
    <t>=IF((ABS(E26)+ABS(F26))+ABS(G26)+ABS(H26)=0,"..",D26)</t>
  </si>
  <si>
    <t>="401"</t>
  </si>
  <si>
    <t>=NL("SUM","G/L Entry","Amount","G/L Account No.",$E$21,"Fund No.","@@"&amp;D27,"Company=",$C$4,"Transaction Type",$C$5,"Posting Date",$C$7)</t>
  </si>
  <si>
    <t>=NL("SUM","G/L Entry","Amount","G/L Account No.",F$21,"Fund No.","@@"&amp;$D27,"Company=",$C$4,"Transaction Type",$C$5,"Posting Date",$C$7)</t>
  </si>
  <si>
    <t>=NL("SUM","G/L Entry","Amount","G/L Account No.",G$21,"Fund No.","@@"&amp;$D27,"Company=",$C$4,"Transaction Type",$C$5,"Posting Date",$C$7)</t>
  </si>
  <si>
    <t>=NL("SUM","G/L Entry","Amount","G/L Account No.",H$21,"Fund No.","@@"&amp;$D27,"Company=",$C$4,"Transaction Type",$C$5,"Posting Date",$C$7)</t>
  </si>
  <si>
    <t>=IF((ABS(E27)+ABS(F27))+ABS(G27)+ABS(H27)=0,"..",D27)</t>
  </si>
  <si>
    <t>=NP("JOIN",I22:I28,"|")</t>
  </si>
  <si>
    <t>=SUBSTITUTE(I29,"..|","")</t>
  </si>
  <si>
    <t>=LEN(I30)</t>
  </si>
  <si>
    <t>=IF(LEFT(I30,I31-1)="",0,LEFT(I30,I31-1))</t>
  </si>
  <si>
    <t>=NP("join",F37:F38,"/")</t>
  </si>
  <si>
    <t>=SUBSTITUTE(F39,"!/","")</t>
  </si>
  <si>
    <t>=LEN(F40)</t>
  </si>
  <si>
    <t>=IF(ISERROR(IF(LEFT(F40,F41-1)="","",LEFT(F40,F41-1))),"",(IF(LEFT(F40,F41-1)="","",LEFT(F40,F41-1))))</t>
  </si>
  <si>
    <t>Auto+Hide+Hidesheet+Values+Formulas=Sheet3,Sheet11,Sheet12+FormulasOnly</t>
  </si>
  <si>
    <t>Auto+Hide+Values+Formulas=Sheet4,Sheet13,Sheet14+FormulasOnly</t>
  </si>
  <si>
    <t>=IF(AQ272=0,"hidesheet","Hide")</t>
  </si>
  <si>
    <t>=IF(AD289=0,"ADOPTED","AMENDED")</t>
  </si>
  <si>
    <t>=IF(AF289=0,"ADOPTED","AMENDED")</t>
  </si>
  <si>
    <t>=IF(R283=0,IF(AND($F$22&gt;"399",$F$22&lt;"500"),"OPERATING REVENUES","REVENUES"),"THIS REPORT HAS AN ERROR, THIS REPORT HAS AN ERROR, THIS REPORT HAS AN ERROR")</t>
  </si>
  <si>
    <t>=IF(OR(AH$1="hide",$P38=""),0,ROUND(-NL("SUM","G/L Entry","Amount","G/L Account No.",$P38,"Fund No.",$F$22,"Global Dimension 2 Code",$F$12,"Company=",$D$6,"Transaction Type",AH$4,"Posting Date",AH$3)+$Z292,0))</t>
  </si>
  <si>
    <t>=IF(AQ40=0,"Hide","Show")</t>
  </si>
  <si>
    <t>="351000"</t>
  </si>
  <si>
    <t>=IF(K40="","8888888",K40)</t>
  </si>
  <si>
    <t>=K40</t>
  </si>
  <si>
    <t>=IF($P40="","",(NL("Rows","G/L Account","Name","No.",$P40,"Company=",$D$6)))</t>
  </si>
  <si>
    <t>=IF($P40="",0,ROUND(-NL("SUM","G/L Entry","Amount","G/L Account No.",$P40,"Fund No.",$F$22,"Global Dimension 2 Code",$F$12,"Company=",$D$6,"Transaction Type",T$4,"Posting Date",T$3),0))</t>
  </si>
  <si>
    <t>=IF(OR(V$1="hide",$P40=""),0,ROUND(-NL("SUM","G/L Entry","Amount","G/L Account No.",$P40,"Fund No.",$F$22,"Global Dimension 2 Code",$F$12,"Company=",$D$6,"Transaction Type",V$4,"Posting Date",V$3),0))</t>
  </si>
  <si>
    <t>=IF(OR(X$1="hide",$P40=""),0,ROUND(-NL("SUM","G/L Entry","Amount","G/L Account No.",$P40,"Fund No.",$F$22,"Global Dimension 2 Code",$F$12,"Company=",$D$6,"Transaction Type",X$4,"Posting Date",X$3),0))</t>
  </si>
  <si>
    <t>=IF(OR(Z$1="hide",$P40=""),0,ROUND(-NL("SUM","G/L Entry","Amount","G/L Account No.",$P40,"Fund No.",$F$22,"Global Dimension 2 Code",$F$12,"Company=",$D$6,"Transaction Type",Z$4,"Posting Date",Z$3),0))</t>
  </si>
  <si>
    <t>=IF(OR(AB$1="hide",$P40=""),0,ROUND(-NL("SUM","G/L Entry","Amount","G/L Account No.",$P40,"Fund No.",$F$22,"Global Dimension 2 Code",$F$12,"Company=",$D$6,"Transaction Type",AB$4,"Posting Date",AB$3),0))</t>
  </si>
  <si>
    <t>=IF(OR(AD$1="hide",$P40=""),0,ROUND(-NL("SUM","G/L Entry","Amount","G/L Account No.",$P40,"Fund No.",$F$22,"Global Dimension 2 Code",$F$12,"Company=",$D$6,"Transaction Type",AD$4,"Posting Date",AD$3),0))</t>
  </si>
  <si>
    <t>=IF(OR(AF$1="hide",$P40=""),0,ROUND(-NL("SUM","G/L Entry","Amount","G/L Account No.",$P40,"Fund No.",$F$22,"Global Dimension 2 Code",$F$12,"Company=",$D$6,"Transaction Type",AF$4,"Posting Date",AF$3),0))</t>
  </si>
  <si>
    <t>=IF(OR(AH$1="hide",$P40=""),0,ROUND(-NL("SUM","G/L Entry","Amount","G/L Account No.",$P40,"Fund No.",$F$22,"Global Dimension 2 Code",$F$12,"Company=",$D$6,"Transaction Type",AH$4,"Posting Date",AH$3),0))</t>
  </si>
  <si>
    <t>=+AF40-AH40</t>
  </si>
  <si>
    <t>=IF(ISERROR(AH40+AJ40),0,(AH40+AJ40))</t>
  </si>
  <si>
    <t>=IF($F$13="yes",0,IF($P40="",0,-ROUND(NL("SUM","G/L Budget Entry","Amount","Fund No.",$F$22,"G/L Account No.",$P40,"Company=",$D$6,"Global Dimension 2 Code",$F$12,"Date",$AN$3),0)))</t>
  </si>
  <si>
    <t>=IF($F$13="YES",AF40,AN40)</t>
  </si>
  <si>
    <t>=ABS(SUMIF(V40:AP40,"&gt;0")-SUMIF(V40:AP40,"&lt;0"))</t>
  </si>
  <si>
    <t>=IF(AQ41=0,"Hide","Show")</t>
  </si>
  <si>
    <t>="361006"</t>
  </si>
  <si>
    <t>=IF(K41="","8888888",K41)</t>
  </si>
  <si>
    <t>=K41</t>
  </si>
  <si>
    <t>=IF($P41="","",(NL("Rows","G/L Account","Name","No.",$P41,"Company=",$D$6)))</t>
  </si>
  <si>
    <t>=IF($P41="",0,ROUND(-NL("SUM","G/L Entry","Amount","G/L Account No.",$P41,"Fund No.",$F$22,"Global Dimension 2 Code",$F$12,"Company=",$D$6,"Transaction Type",T$4,"Posting Date",T$3),0))</t>
  </si>
  <si>
    <t>=IF(OR(V$1="hide",$P41=""),0,ROUND(-NL("SUM","G/L Entry","Amount","G/L Account No.",$P41,"Fund No.",$F$22,"Global Dimension 2 Code",$F$12,"Company=",$D$6,"Transaction Type",V$4,"Posting Date",V$3),0))</t>
  </si>
  <si>
    <t>=IF(OR(X$1="hide",$P41=""),0,ROUND(-NL("SUM","G/L Entry","Amount","G/L Account No.",$P41,"Fund No.",$F$22,"Global Dimension 2 Code",$F$12,"Company=",$D$6,"Transaction Type",X$4,"Posting Date",X$3),0))</t>
  </si>
  <si>
    <t>=IF(OR(Z$1="hide",$P41=""),0,ROUND(-NL("SUM","G/L Entry","Amount","G/L Account No.",$P41,"Fund No.",$F$22,"Global Dimension 2 Code",$F$12,"Company=",$D$6,"Transaction Type",Z$4,"Posting Date",Z$3),0))</t>
  </si>
  <si>
    <t>=IF(OR(AB$1="hide",$P41=""),0,ROUND(-NL("SUM","G/L Entry","Amount","G/L Account No.",$P41,"Fund No.",$F$22,"Global Dimension 2 Code",$F$12,"Company=",$D$6,"Transaction Type",AB$4,"Posting Date",AB$3),0))</t>
  </si>
  <si>
    <t>=IF(OR(AD$1="hide",$P41=""),0,ROUND(-NL("SUM","G/L Entry","Amount","G/L Account No.",$P41,"Fund No.",$F$22,"Global Dimension 2 Code",$F$12,"Company=",$D$6,"Transaction Type",AD$4,"Posting Date",AD$3),0))</t>
  </si>
  <si>
    <t>=IF(OR(AF$1="hide",$P41=""),0,ROUND(-NL("SUM","G/L Entry","Amount","G/L Account No.",$P41,"Fund No.",$F$22,"Global Dimension 2 Code",$F$12,"Company=",$D$6,"Transaction Type",AF$4,"Posting Date",AF$3),0))</t>
  </si>
  <si>
    <t>=IF(OR(AH$1="hide",$P41=""),0,ROUND(-NL("SUM","G/L Entry","Amount","G/L Account No.",$P41,"Fund No.",$F$22,"Global Dimension 2 Code",$F$12,"Company=",$D$6,"Transaction Type",AH$4,"Posting Date",AH$3),0))</t>
  </si>
  <si>
    <t>=+AF41-AH41</t>
  </si>
  <si>
    <t>=IF(ISERROR(AH41+AJ41),0,(AH41+AJ41))</t>
  </si>
  <si>
    <t>=IF($F$13="yes",0,IF($P41="",0,-ROUND(NL("SUM","G/L Budget Entry","Amount","Fund No.",$F$22,"G/L Account No.",$P41,"Company=",$D$6,"Global Dimension 2 Code",$F$12,"Date",$AN$3),0)))</t>
  </si>
  <si>
    <t>=IF($F$13="YES",AF41,AN41)</t>
  </si>
  <si>
    <t>=ABS(SUMIF(V41:AP41,"&gt;0")-SUMIF(V41:AP41,"&lt;0"))</t>
  </si>
  <si>
    <t>=IF(AQ42=0,"Hide","Show")</t>
  </si>
  <si>
    <t>="363010"</t>
  </si>
  <si>
    <t>=IF(K42="","8888888",K42)</t>
  </si>
  <si>
    <t>=K42</t>
  </si>
  <si>
    <t>=IF($P42="","",(NL("Rows","G/L Account","Name","No.",$P42,"Company=",$D$6)))</t>
  </si>
  <si>
    <t>=IF($P42="",0,ROUND(-NL("SUM","G/L Entry","Amount","G/L Account No.",$P42,"Fund No.",$F$22,"Global Dimension 2 Code",$F$12,"Company=",$D$6,"Transaction Type",T$4,"Posting Date",T$3),0))</t>
  </si>
  <si>
    <t>=IF(OR(V$1="hide",$P42=""),0,ROUND(-NL("SUM","G/L Entry","Amount","G/L Account No.",$P42,"Fund No.",$F$22,"Global Dimension 2 Code",$F$12,"Company=",$D$6,"Transaction Type",V$4,"Posting Date",V$3),0))</t>
  </si>
  <si>
    <t>=IF(OR(X$1="hide",$P42=""),0,ROUND(-NL("SUM","G/L Entry","Amount","G/L Account No.",$P42,"Fund No.",$F$22,"Global Dimension 2 Code",$F$12,"Company=",$D$6,"Transaction Type",X$4,"Posting Date",X$3),0))</t>
  </si>
  <si>
    <t>=IF(OR(Z$1="hide",$P42=""),0,ROUND(-NL("SUM","G/L Entry","Amount","G/L Account No.",$P42,"Fund No.",$F$22,"Global Dimension 2 Code",$F$12,"Company=",$D$6,"Transaction Type",Z$4,"Posting Date",Z$3),0))</t>
  </si>
  <si>
    <t>=IF(OR(AB$1="hide",$P42=""),0,ROUND(-NL("SUM","G/L Entry","Amount","G/L Account No.",$P42,"Fund No.",$F$22,"Global Dimension 2 Code",$F$12,"Company=",$D$6,"Transaction Type",AB$4,"Posting Date",AB$3),0))</t>
  </si>
  <si>
    <t>=IF(OR(AD$1="hide",$P42=""),0,ROUND(-NL("SUM","G/L Entry","Amount","G/L Account No.",$P42,"Fund No.",$F$22,"Global Dimension 2 Code",$F$12,"Company=",$D$6,"Transaction Type",AD$4,"Posting Date",AD$3),0))</t>
  </si>
  <si>
    <t>=IF(OR(AF$1="hide",$P42=""),0,ROUND(-NL("SUM","G/L Entry","Amount","G/L Account No.",$P42,"Fund No.",$F$22,"Global Dimension 2 Code",$F$12,"Company=",$D$6,"Transaction Type",AF$4,"Posting Date",AF$3),0))</t>
  </si>
  <si>
    <t>=IF(OR(AH$1="hide",$P42=""),0,ROUND(-NL("SUM","G/L Entry","Amount","G/L Account No.",$P42,"Fund No.",$F$22,"Global Dimension 2 Code",$F$12,"Company=",$D$6,"Transaction Type",AH$4,"Posting Date",AH$3),0))</t>
  </si>
  <si>
    <t>=+AF42-AH42</t>
  </si>
  <si>
    <t>=IF(ISERROR(AH42+AJ42),0,(AH42+AJ42))</t>
  </si>
  <si>
    <t>=IF($F$13="yes",0,IF($P42="",0,-ROUND(NL("SUM","G/L Budget Entry","Amount","Fund No.",$F$22,"G/L Account No.",$P42,"Company=",$D$6,"Global Dimension 2 Code",$F$12,"Date",$AN$3),0)))</t>
  </si>
  <si>
    <t>=IF($F$13="YES",AF42,AN42)</t>
  </si>
  <si>
    <t>=ABS(SUMIF(V42:AP42,"&gt;0")-SUMIF(V42:AP42,"&lt;0"))</t>
  </si>
  <si>
    <t>=IF(AQ43=0,"Hide","Show")</t>
  </si>
  <si>
    <t>="363030"</t>
  </si>
  <si>
    <t>=IF(K43="","8888888",K43)</t>
  </si>
  <si>
    <t>=K43</t>
  </si>
  <si>
    <t>=IF($P43="","",(NL("Rows","G/L Account","Name","No.",$P43,"Company=",$D$6)))</t>
  </si>
  <si>
    <t>=IF($P43="",0,ROUND(-NL("SUM","G/L Entry","Amount","G/L Account No.",$P43,"Fund No.",$F$22,"Global Dimension 2 Code",$F$12,"Company=",$D$6,"Transaction Type",T$4,"Posting Date",T$3),0))</t>
  </si>
  <si>
    <t>=IF(OR(V$1="hide",$P43=""),0,ROUND(-NL("SUM","G/L Entry","Amount","G/L Account No.",$P43,"Fund No.",$F$22,"Global Dimension 2 Code",$F$12,"Company=",$D$6,"Transaction Type",V$4,"Posting Date",V$3),0))</t>
  </si>
  <si>
    <t>=IF(OR(X$1="hide",$P43=""),0,ROUND(-NL("SUM","G/L Entry","Amount","G/L Account No.",$P43,"Fund No.",$F$22,"Global Dimension 2 Code",$F$12,"Company=",$D$6,"Transaction Type",X$4,"Posting Date",X$3),0))</t>
  </si>
  <si>
    <t>=IF(OR(Z$1="hide",$P43=""),0,ROUND(-NL("SUM","G/L Entry","Amount","G/L Account No.",$P43,"Fund No.",$F$22,"Global Dimension 2 Code",$F$12,"Company=",$D$6,"Transaction Type",Z$4,"Posting Date",Z$3),0))</t>
  </si>
  <si>
    <t>=IF(OR(AB$1="hide",$P43=""),0,ROUND(-NL("SUM","G/L Entry","Amount","G/L Account No.",$P43,"Fund No.",$F$22,"Global Dimension 2 Code",$F$12,"Company=",$D$6,"Transaction Type",AB$4,"Posting Date",AB$3),0))</t>
  </si>
  <si>
    <t>=IF(OR(AD$1="hide",$P43=""),0,ROUND(-NL("SUM","G/L Entry","Amount","G/L Account No.",$P43,"Fund No.",$F$22,"Global Dimension 2 Code",$F$12,"Company=",$D$6,"Transaction Type",AD$4,"Posting Date",AD$3),0))</t>
  </si>
  <si>
    <t>=IF(OR(AF$1="hide",$P43=""),0,ROUND(-NL("SUM","G/L Entry","Amount","G/L Account No.",$P43,"Fund No.",$F$22,"Global Dimension 2 Code",$F$12,"Company=",$D$6,"Transaction Type",AF$4,"Posting Date",AF$3),0))</t>
  </si>
  <si>
    <t>=IF(OR(AH$1="hide",$P43=""),0,ROUND(-NL("SUM","G/L Entry","Amount","G/L Account No.",$P43,"Fund No.",$F$22,"Global Dimension 2 Code",$F$12,"Company=",$D$6,"Transaction Type",AH$4,"Posting Date",AH$3),0))</t>
  </si>
  <si>
    <t>=+AF43-AH43</t>
  </si>
  <si>
    <t>=IF(ISERROR(AH43+AJ43),0,(AH43+AJ43))</t>
  </si>
  <si>
    <t>=IF($F$13="yes",0,IF($P43="",0,-ROUND(NL("SUM","G/L Budget Entry","Amount","Fund No.",$F$22,"G/L Account No.",$P43,"Company=",$D$6,"Global Dimension 2 Code",$F$12,"Date",$AN$3),0)))</t>
  </si>
  <si>
    <t>=IF($F$13="YES",AF43,AN43)</t>
  </si>
  <si>
    <t>=ABS(SUMIF(V43:AP43,"&gt;0")-SUMIF(V43:AP43,"&lt;0"))</t>
  </si>
  <si>
    <t>="363040"</t>
  </si>
  <si>
    <t>=IF(K44="","8888888",K44)</t>
  </si>
  <si>
    <t>=IF($P44="",0,ROUND(-NL("SUM","G/L Entry","Amount","G/L Account No.",$P44,"Fund No.",$F$22,"Global Dimension 2 Code",$F$12,"Company=",$D$6,"Transaction Type",T$4,"Posting Date",T$3),0))</t>
  </si>
  <si>
    <t>=IF(OR(V$1="hide",$P44=""),0,ROUND(-NL("SUM","G/L Entry","Amount","G/L Account No.",$P44,"Fund No.",$F$22,"Global Dimension 2 Code",$F$12,"Company=",$D$6,"Transaction Type",V$4,"Posting Date",V$3),0))</t>
  </si>
  <si>
    <t>=IF(OR(X$1="hide",$P44=""),0,ROUND(-NL("SUM","G/L Entry","Amount","G/L Account No.",$P44,"Fund No.",$F$22,"Global Dimension 2 Code",$F$12,"Company=",$D$6,"Transaction Type",X$4,"Posting Date",X$3),0))</t>
  </si>
  <si>
    <t>=IF(OR(Z$1="hide",$P44=""),0,ROUND(-NL("SUM","G/L Entry","Amount","G/L Account No.",$P44,"Fund No.",$F$22,"Global Dimension 2 Code",$F$12,"Company=",$D$6,"Transaction Type",Z$4,"Posting Date",Z$3),0))</t>
  </si>
  <si>
    <t>=IF(OR(AB$1="hide",$P44=""),0,ROUND(-NL("SUM","G/L Entry","Amount","G/L Account No.",$P44,"Fund No.",$F$22,"Global Dimension 2 Code",$F$12,"Company=",$D$6,"Transaction Type",AB$4,"Posting Date",AB$3),0))</t>
  </si>
  <si>
    <t>=IF(OR(AD$1="hide",$P44=""),0,ROUND(-NL("SUM","G/L Entry","Amount","G/L Account No.",$P44,"Fund No.",$F$22,"Global Dimension 2 Code",$F$12,"Company=",$D$6,"Transaction Type",AD$4,"Posting Date",AD$3),0))</t>
  </si>
  <si>
    <t>=IF(OR(AF$1="hide",$P44=""),0,ROUND(-NL("SUM","G/L Entry","Amount","G/L Account No.",$P44,"Fund No.",$F$22,"Global Dimension 2 Code",$F$12,"Company=",$D$6,"Transaction Type",AF$4,"Posting Date",AF$3),0))</t>
  </si>
  <si>
    <t>=IF(OR(AH$1="hide",$P44=""),0,ROUND(-NL("SUM","G/L Entry","Amount","G/L Account No.",$P44,"Fund No.",$F$22,"Global Dimension 2 Code",$F$12,"Company=",$D$6,"Transaction Type",AH$4,"Posting Date",AH$3),0))</t>
  </si>
  <si>
    <t>=IF($F$13="yes",0,IF($P44="",0,-ROUND(NL("SUM","G/L Budget Entry","Amount","Fund No.",$F$22,"G/L Account No.",$P44,"Company=",$D$6,"Global Dimension 2 Code",$F$12,"Date",$AN$3),0)))</t>
  </si>
  <si>
    <t>=IF(AQ45=0,"Hide","Show")</t>
  </si>
  <si>
    <t>="363050"</t>
  </si>
  <si>
    <t>=IF(K45="","8888888",K45)</t>
  </si>
  <si>
    <t>=K45</t>
  </si>
  <si>
    <t>=IF($P45="","",(NL("Rows","G/L Account","Name","No.",$P45,"Company=",$D$6)))</t>
  </si>
  <si>
    <t>=IF($P45="",0,ROUND(-NL("SUM","G/L Entry","Amount","G/L Account No.",$P45,"Fund No.",$F$22,"Global Dimension 2 Code",$F$12,"Company=",$D$6,"Transaction Type",T$4,"Posting Date",T$3),0))</t>
  </si>
  <si>
    <t>=IF(OR(V$1="hide",$P45=""),0,ROUND(-NL("SUM","G/L Entry","Amount","G/L Account No.",$P45,"Fund No.",$F$22,"Global Dimension 2 Code",$F$12,"Company=",$D$6,"Transaction Type",V$4,"Posting Date",V$3),0))</t>
  </si>
  <si>
    <t>=IF(OR(X$1="hide",$P45=""),0,ROUND(-NL("SUM","G/L Entry","Amount","G/L Account No.",$P45,"Fund No.",$F$22,"Global Dimension 2 Code",$F$12,"Company=",$D$6,"Transaction Type",X$4,"Posting Date",X$3),0))</t>
  </si>
  <si>
    <t>=IF(OR(Z$1="hide",$P45=""),0,ROUND(-NL("SUM","G/L Entry","Amount","G/L Account No.",$P45,"Fund No.",$F$22,"Global Dimension 2 Code",$F$12,"Company=",$D$6,"Transaction Type",Z$4,"Posting Date",Z$3),0))</t>
  </si>
  <si>
    <t>=IF(OR(AB$1="hide",$P45=""),0,ROUND(-NL("SUM","G/L Entry","Amount","G/L Account No.",$P45,"Fund No.",$F$22,"Global Dimension 2 Code",$F$12,"Company=",$D$6,"Transaction Type",AB$4,"Posting Date",AB$3),0))</t>
  </si>
  <si>
    <t>=IF(OR(AD$1="hide",$P45=""),0,ROUND(-NL("SUM","G/L Entry","Amount","G/L Account No.",$P45,"Fund No.",$F$22,"Global Dimension 2 Code",$F$12,"Company=",$D$6,"Transaction Type",AD$4,"Posting Date",AD$3),0))</t>
  </si>
  <si>
    <t>=IF(OR(AF$1="hide",$P45=""),0,ROUND(-NL("SUM","G/L Entry","Amount","G/L Account No.",$P45,"Fund No.",$F$22,"Global Dimension 2 Code",$F$12,"Company=",$D$6,"Transaction Type",AF$4,"Posting Date",AF$3),0))</t>
  </si>
  <si>
    <t>=IF(OR(AH$1="hide",$P45=""),0,ROUND(-NL("SUM","G/L Entry","Amount","G/L Account No.",$P45,"Fund No.",$F$22,"Global Dimension 2 Code",$F$12,"Company=",$D$6,"Transaction Type",AH$4,"Posting Date",AH$3),0))</t>
  </si>
  <si>
    <t>=+AF45-AH45</t>
  </si>
  <si>
    <t>=IF(ISERROR(AH45+AJ45),0,(AH45+AJ45))</t>
  </si>
  <si>
    <t>=IF($F$13="yes",0,IF($P45="",0,-ROUND(NL("SUM","G/L Budget Entry","Amount","Fund No.",$F$22,"G/L Account No.",$P45,"Company=",$D$6,"Global Dimension 2 Code",$F$12,"Date",$AN$3),0)))</t>
  </si>
  <si>
    <t>=IF($F$13="YES",AF45,AN45)</t>
  </si>
  <si>
    <t>=ABS(SUMIF(V45:AP45,"&gt;0")-SUMIF(V45:AP45,"&lt;0"))</t>
  </si>
  <si>
    <t>="363090"</t>
  </si>
  <si>
    <t>=IF(K46="","8888888",K46)</t>
  </si>
  <si>
    <t>=K46</t>
  </si>
  <si>
    <t>=IF($P46="","",(NL("Rows","G/L Account","Name","No.",$P46,"Company=",$D$6)))</t>
  </si>
  <si>
    <t>=IF($P46="",0,ROUND(-NL("SUM","G/L Entry","Amount","G/L Account No.",$P46,"Fund No.",$F$22,"Global Dimension 2 Code",$F$12,"Company=",$D$6,"Transaction Type",T$4,"Posting Date",T$3),0))</t>
  </si>
  <si>
    <t>=IF(OR(V$1="hide",$P46=""),0,ROUND(-NL("SUM","G/L Entry","Amount","G/L Account No.",$P46,"Fund No.",$F$22,"Global Dimension 2 Code",$F$12,"Company=",$D$6,"Transaction Type",V$4,"Posting Date",V$3),0))</t>
  </si>
  <si>
    <t>=IF(OR(X$1="hide",$P46=""),0,ROUND(-NL("SUM","G/L Entry","Amount","G/L Account No.",$P46,"Fund No.",$F$22,"Global Dimension 2 Code",$F$12,"Company=",$D$6,"Transaction Type",X$4,"Posting Date",X$3),0))</t>
  </si>
  <si>
    <t>=IF(OR(Z$1="hide",$P46=""),0,ROUND(-NL("SUM","G/L Entry","Amount","G/L Account No.",$P46,"Fund No.",$F$22,"Global Dimension 2 Code",$F$12,"Company=",$D$6,"Transaction Type",Z$4,"Posting Date",Z$3),0))</t>
  </si>
  <si>
    <t>=IF(OR(AB$1="hide",$P46=""),0,ROUND(-NL("SUM","G/L Entry","Amount","G/L Account No.",$P46,"Fund No.",$F$22,"Global Dimension 2 Code",$F$12,"Company=",$D$6,"Transaction Type",AB$4,"Posting Date",AB$3),0))</t>
  </si>
  <si>
    <t>=IF(OR(AD$1="hide",$P46=""),0,ROUND(-NL("SUM","G/L Entry","Amount","G/L Account No.",$P46,"Fund No.",$F$22,"Global Dimension 2 Code",$F$12,"Company=",$D$6,"Transaction Type",AD$4,"Posting Date",AD$3),0))</t>
  </si>
  <si>
    <t>=IF(OR(AF$1="hide",$P46=""),0,ROUND(-NL("SUM","G/L Entry","Amount","G/L Account No.",$P46,"Fund No.",$F$22,"Global Dimension 2 Code",$F$12,"Company=",$D$6,"Transaction Type",AF$4,"Posting Date",AF$3),0))</t>
  </si>
  <si>
    <t>=IF(OR(AH$1="hide",$P46=""),0,ROUND(-NL("SUM","G/L Entry","Amount","G/L Account No.",$P46,"Fund No.",$F$22,"Global Dimension 2 Code",$F$12,"Company=",$D$6,"Transaction Type",AH$4,"Posting Date",AH$3),0))</t>
  </si>
  <si>
    <t>=+AF46-AH46</t>
  </si>
  <si>
    <t>=IF(ISERROR(AH46+AJ46),0,(AH46+AJ46))</t>
  </si>
  <si>
    <t>=IF($F$13="yes",0,IF($P46="",0,-ROUND(NL("SUM","G/L Budget Entry","Amount","Fund No.",$F$22,"G/L Account No.",$P46,"Company=",$D$6,"Global Dimension 2 Code",$F$12,"Date",$AN$3),0)))</t>
  </si>
  <si>
    <t>=IF($F$13="YES",AF46,AN46)</t>
  </si>
  <si>
    <t>=IF(AQ47=0,"Hide","Show")</t>
  </si>
  <si>
    <t>="364010"</t>
  </si>
  <si>
    <t>=IF(K47="","8888888",K47)</t>
  </si>
  <si>
    <t>=K47</t>
  </si>
  <si>
    <t>=IF($P47="","",(NL("Rows","G/L Account","Name","No.",$P47,"Company=",$D$6)))</t>
  </si>
  <si>
    <t>=IF($P47="",0,ROUND(-NL("SUM","G/L Entry","Amount","G/L Account No.",$P47,"Fund No.",$F$22,"Global Dimension 2 Code",$F$12,"Company=",$D$6,"Transaction Type",T$4,"Posting Date",T$3),0))</t>
  </si>
  <si>
    <t>=IF(OR(V$1="hide",$P47=""),0,ROUND(-NL("SUM","G/L Entry","Amount","G/L Account No.",$P47,"Fund No.",$F$22,"Global Dimension 2 Code",$F$12,"Company=",$D$6,"Transaction Type",V$4,"Posting Date",V$3),0))</t>
  </si>
  <si>
    <t>=IF(OR(X$1="hide",$P47=""),0,ROUND(-NL("SUM","G/L Entry","Amount","G/L Account No.",$P47,"Fund No.",$F$22,"Global Dimension 2 Code",$F$12,"Company=",$D$6,"Transaction Type",X$4,"Posting Date",X$3),0))</t>
  </si>
  <si>
    <t>=IF(OR(Z$1="hide",$P47=""),0,ROUND(-NL("SUM","G/L Entry","Amount","G/L Account No.",$P47,"Fund No.",$F$22,"Global Dimension 2 Code",$F$12,"Company=",$D$6,"Transaction Type",Z$4,"Posting Date",Z$3),0))</t>
  </si>
  <si>
    <t>=IF(OR(AB$1="hide",$P47=""),0,ROUND(-NL("SUM","G/L Entry","Amount","G/L Account No.",$P47,"Fund No.",$F$22,"Global Dimension 2 Code",$F$12,"Company=",$D$6,"Transaction Type",AB$4,"Posting Date",AB$3),0))</t>
  </si>
  <si>
    <t>=IF(OR(AD$1="hide",$P47=""),0,ROUND(-NL("SUM","G/L Entry","Amount","G/L Account No.",$P47,"Fund No.",$F$22,"Global Dimension 2 Code",$F$12,"Company=",$D$6,"Transaction Type",AD$4,"Posting Date",AD$3),0))</t>
  </si>
  <si>
    <t>=IF(OR(AF$1="hide",$P47=""),0,ROUND(-NL("SUM","G/L Entry","Amount","G/L Account No.",$P47,"Fund No.",$F$22,"Global Dimension 2 Code",$F$12,"Company=",$D$6,"Transaction Type",AF$4,"Posting Date",AF$3),0))</t>
  </si>
  <si>
    <t>=IF(OR(AH$1="hide",$P47=""),0,ROUND(-NL("SUM","G/L Entry","Amount","G/L Account No.",$P47,"Fund No.",$F$22,"Global Dimension 2 Code",$F$12,"Company=",$D$6,"Transaction Type",AH$4,"Posting Date",AH$3),0))</t>
  </si>
  <si>
    <t>=+AF47-AH47</t>
  </si>
  <si>
    <t>=IF(ISERROR(AH47+AJ47),0,(AH47+AJ47))</t>
  </si>
  <si>
    <t>=IF($F$13="yes",0,IF($P47="",0,-ROUND(NL("SUM","G/L Budget Entry","Amount","Fund No.",$F$22,"G/L Account No.",$P47,"Company=",$D$6,"Global Dimension 2 Code",$F$12,"Date",$AN$3),0)))</t>
  </si>
  <si>
    <t>=IF($F$13="YES",AF47,AN47)</t>
  </si>
  <si>
    <t>=ABS(SUMIF(V47:AP47,"&gt;0")-SUMIF(V47:AP47,"&lt;0"))</t>
  </si>
  <si>
    <t>=IF(AQ48=0,"Hide","Show")</t>
  </si>
  <si>
    <t>="366010"</t>
  </si>
  <si>
    <t>=IF(K48="","8888888",K48)</t>
  </si>
  <si>
    <t>=K48</t>
  </si>
  <si>
    <t>=IF($P48="","",(NL("Rows","G/L Account","Name","No.",$P48,"Company=",$D$6)))</t>
  </si>
  <si>
    <t>=IF($P48="",0,ROUND(-NL("SUM","G/L Entry","Amount","G/L Account No.",$P48,"Fund No.",$F$22,"Global Dimension 2 Code",$F$12,"Company=",$D$6,"Transaction Type",T$4,"Posting Date",T$3),0))</t>
  </si>
  <si>
    <t>=IF(OR(V$1="hide",$P48=""),0,ROUND(-NL("SUM","G/L Entry","Amount","G/L Account No.",$P48,"Fund No.",$F$22,"Global Dimension 2 Code",$F$12,"Company=",$D$6,"Transaction Type",V$4,"Posting Date",V$3),0))</t>
  </si>
  <si>
    <t>=IF(OR(X$1="hide",$P48=""),0,ROUND(-NL("SUM","G/L Entry","Amount","G/L Account No.",$P48,"Fund No.",$F$22,"Global Dimension 2 Code",$F$12,"Company=",$D$6,"Transaction Type",X$4,"Posting Date",X$3),0))</t>
  </si>
  <si>
    <t>=IF(OR(Z$1="hide",$P48=""),0,ROUND(-NL("SUM","G/L Entry","Amount","G/L Account No.",$P48,"Fund No.",$F$22,"Global Dimension 2 Code",$F$12,"Company=",$D$6,"Transaction Type",Z$4,"Posting Date",Z$3),0))</t>
  </si>
  <si>
    <t>=IF(OR(AB$1="hide",$P48=""),0,ROUND(-NL("SUM","G/L Entry","Amount","G/L Account No.",$P48,"Fund No.",$F$22,"Global Dimension 2 Code",$F$12,"Company=",$D$6,"Transaction Type",AB$4,"Posting Date",AB$3),0))</t>
  </si>
  <si>
    <t>=IF(OR(AD$1="hide",$P48=""),0,ROUND(-NL("SUM","G/L Entry","Amount","G/L Account No.",$P48,"Fund No.",$F$22,"Global Dimension 2 Code",$F$12,"Company=",$D$6,"Transaction Type",AD$4,"Posting Date",AD$3),0))</t>
  </si>
  <si>
    <t>=IF(OR(AF$1="hide",$P48=""),0,ROUND(-NL("SUM","G/L Entry","Amount","G/L Account No.",$P48,"Fund No.",$F$22,"Global Dimension 2 Code",$F$12,"Company=",$D$6,"Transaction Type",AF$4,"Posting Date",AF$3),0))</t>
  </si>
  <si>
    <t>=IF(OR(AH$1="hide",$P48=""),0,ROUND(-NL("SUM","G/L Entry","Amount","G/L Account No.",$P48,"Fund No.",$F$22,"Global Dimension 2 Code",$F$12,"Company=",$D$6,"Transaction Type",AH$4,"Posting Date",AH$3),0))</t>
  </si>
  <si>
    <t>=+AF48-AH48</t>
  </si>
  <si>
    <t>=IF(ISERROR(AH48+AJ48),0,(AH48+AJ48))</t>
  </si>
  <si>
    <t>=IF($F$13="yes",0,IF($P48="",0,-ROUND(NL("SUM","G/L Budget Entry","Amount","Fund No.",$F$22,"G/L Account No.",$P48,"Company=",$D$6,"Global Dimension 2 Code",$F$12,"Date",$AN$3),0)))</t>
  </si>
  <si>
    <t>=IF($F$13="YES",AF48,AN48)</t>
  </si>
  <si>
    <t>=ABS(SUMIF(V48:AP48,"&gt;0")-SUMIF(V48:AP48,"&lt;0"))</t>
  </si>
  <si>
    <t>=IF(AQ49=0,"Hide","Show")</t>
  </si>
  <si>
    <t>="369300"</t>
  </si>
  <si>
    <t>=IF(K49="","8888888",K49)</t>
  </si>
  <si>
    <t>=K49</t>
  </si>
  <si>
    <t>=IF($P49="","",(NL("Rows","G/L Account","Name","No.",$P49,"Company=",$D$6)))</t>
  </si>
  <si>
    <t>=IF($P49="",0,ROUND(-NL("SUM","G/L Entry","Amount","G/L Account No.",$P49,"Fund No.",$F$22,"Global Dimension 2 Code",$F$12,"Company=",$D$6,"Transaction Type",T$4,"Posting Date",T$3),0))</t>
  </si>
  <si>
    <t>=IF(OR(V$1="hide",$P49=""),0,ROUND(-NL("SUM","G/L Entry","Amount","G/L Account No.",$P49,"Fund No.",$F$22,"Global Dimension 2 Code",$F$12,"Company=",$D$6,"Transaction Type",V$4,"Posting Date",V$3),0))</t>
  </si>
  <si>
    <t>=IF(OR(X$1="hide",$P49=""),0,ROUND(-NL("SUM","G/L Entry","Amount","G/L Account No.",$P49,"Fund No.",$F$22,"Global Dimension 2 Code",$F$12,"Company=",$D$6,"Transaction Type",X$4,"Posting Date",X$3),0))</t>
  </si>
  <si>
    <t>=IF(OR(Z$1="hide",$P49=""),0,ROUND(-NL("SUM","G/L Entry","Amount","G/L Account No.",$P49,"Fund No.",$F$22,"Global Dimension 2 Code",$F$12,"Company=",$D$6,"Transaction Type",Z$4,"Posting Date",Z$3),0))</t>
  </si>
  <si>
    <t>=IF(OR(AB$1="hide",$P49=""),0,ROUND(-NL("SUM","G/L Entry","Amount","G/L Account No.",$P49,"Fund No.",$F$22,"Global Dimension 2 Code",$F$12,"Company=",$D$6,"Transaction Type",AB$4,"Posting Date",AB$3),0))</t>
  </si>
  <si>
    <t>=IF(OR(AD$1="hide",$P49=""),0,ROUND(-NL("SUM","G/L Entry","Amount","G/L Account No.",$P49,"Fund No.",$F$22,"Global Dimension 2 Code",$F$12,"Company=",$D$6,"Transaction Type",AD$4,"Posting Date",AD$3),0))</t>
  </si>
  <si>
    <t>=IF(OR(AF$1="hide",$P49=""),0,ROUND(-NL("SUM","G/L Entry","Amount","G/L Account No.",$P49,"Fund No.",$F$22,"Global Dimension 2 Code",$F$12,"Company=",$D$6,"Transaction Type",AF$4,"Posting Date",AF$3),0))</t>
  </si>
  <si>
    <t>=IF(OR(AH$1="hide",$P49=""),0,ROUND(-NL("SUM","G/L Entry","Amount","G/L Account No.",$P49,"Fund No.",$F$22,"Global Dimension 2 Code",$F$12,"Company=",$D$6,"Transaction Type",AH$4,"Posting Date",AH$3),0))</t>
  </si>
  <si>
    <t>=+AF49-AH49</t>
  </si>
  <si>
    <t>=IF(ISERROR(AH49+AJ49),0,(AH49+AJ49))</t>
  </si>
  <si>
    <t>=IF($F$13="yes",0,IF($P49="",0,-ROUND(NL("SUM","G/L Budget Entry","Amount","Fund No.",$F$22,"G/L Account No.",$P49,"Company=",$D$6,"Global Dimension 2 Code",$F$12,"Date",$AN$3),0)))</t>
  </si>
  <si>
    <t>=IF($F$13="YES",AF49,AN49)</t>
  </si>
  <si>
    <t>=IF(AQ50=0,"Hide","Show")</t>
  </si>
  <si>
    <t>="369900"</t>
  </si>
  <si>
    <t>=IF(K50="","8888888",K50)</t>
  </si>
  <si>
    <t>=K50</t>
  </si>
  <si>
    <t>=IF($P50="","",(NL("Rows","G/L Account","Name","No.",$P50,"Company=",$D$6)))</t>
  </si>
  <si>
    <t>=IF($P50="",0,ROUND(-NL("SUM","G/L Entry","Amount","G/L Account No.",$P50,"Fund No.",$F$22,"Global Dimension 2 Code",$F$12,"Company=",$D$6,"Transaction Type",T$4,"Posting Date",T$3),0))</t>
  </si>
  <si>
    <t>=IF(OR(V$1="hide",$P50=""),0,ROUND(-NL("SUM","G/L Entry","Amount","G/L Account No.",$P50,"Fund No.",$F$22,"Global Dimension 2 Code",$F$12,"Company=",$D$6,"Transaction Type",V$4,"Posting Date",V$3),0))</t>
  </si>
  <si>
    <t>=IF(OR(X$1="hide",$P50=""),0,ROUND(-NL("SUM","G/L Entry","Amount","G/L Account No.",$P50,"Fund No.",$F$22,"Global Dimension 2 Code",$F$12,"Company=",$D$6,"Transaction Type",X$4,"Posting Date",X$3),0))</t>
  </si>
  <si>
    <t>=IF(OR(Z$1="hide",$P50=""),0,ROUND(-NL("SUM","G/L Entry","Amount","G/L Account No.",$P50,"Fund No.",$F$22,"Global Dimension 2 Code",$F$12,"Company=",$D$6,"Transaction Type",Z$4,"Posting Date",Z$3),0))</t>
  </si>
  <si>
    <t>=IF(OR(AB$1="hide",$P50=""),0,ROUND(-NL("SUM","G/L Entry","Amount","G/L Account No.",$P50,"Fund No.",$F$22,"Global Dimension 2 Code",$F$12,"Company=",$D$6,"Transaction Type",AB$4,"Posting Date",AB$3),0))</t>
  </si>
  <si>
    <t>=IF(OR(AD$1="hide",$P50=""),0,ROUND(-NL("SUM","G/L Entry","Amount","G/L Account No.",$P50,"Fund No.",$F$22,"Global Dimension 2 Code",$F$12,"Company=",$D$6,"Transaction Type",AD$4,"Posting Date",AD$3),0))</t>
  </si>
  <si>
    <t>=IF(OR(AF$1="hide",$P50=""),0,ROUND(-NL("SUM","G/L Entry","Amount","G/L Account No.",$P50,"Fund No.",$F$22,"Global Dimension 2 Code",$F$12,"Company=",$D$6,"Transaction Type",AF$4,"Posting Date",AF$3),0))</t>
  </si>
  <si>
    <t>=IF(OR(AH$1="hide",$P50=""),0,ROUND(-NL("SUM","G/L Entry","Amount","G/L Account No.",$P50,"Fund No.",$F$22,"Global Dimension 2 Code",$F$12,"Company=",$D$6,"Transaction Type",AH$4,"Posting Date",AH$3),0))</t>
  </si>
  <si>
    <t>=+AF50-AH50</t>
  </si>
  <si>
    <t>=IF(ISERROR(AH50+AJ50),0,(AH50+AJ50))</t>
  </si>
  <si>
    <t>=IF($F$13="yes",0,IF($P50="",0,-ROUND(NL("SUM","G/L Budget Entry","Amount","Fund No.",$F$22,"G/L Account No.",$P50,"Company=",$D$6,"Global Dimension 2 Code",$F$12,"Date",$AN$3),0)))</t>
  </si>
  <si>
    <t>=IF($F$13="YES",AF50,AN50)</t>
  </si>
  <si>
    <t>=ABS(SUMIF(V50:AP50,"&gt;0")-SUMIF(V50:AP50,"&lt;0"))</t>
  </si>
  <si>
    <t>=IF(AQ51=0,"Hide","Show")</t>
  </si>
  <si>
    <t>="369922"</t>
  </si>
  <si>
    <t>=IF(K51="","8888888",K51)</t>
  </si>
  <si>
    <t>=K51</t>
  </si>
  <si>
    <t>=IF($P51="","",(NL("Rows","G/L Account","Name","No.",$P51,"Company=",$D$6)))</t>
  </si>
  <si>
    <t>=IF($P51="",0,ROUND(-NL("SUM","G/L Entry","Amount","G/L Account No.",$P51,"Fund No.",$F$22,"Global Dimension 2 Code",$F$12,"Company=",$D$6,"Transaction Type",T$4,"Posting Date",T$3),0))</t>
  </si>
  <si>
    <t>=IF(OR(V$1="hide",$P51=""),0,ROUND(-NL("SUM","G/L Entry","Amount","G/L Account No.",$P51,"Fund No.",$F$22,"Global Dimension 2 Code",$F$12,"Company=",$D$6,"Transaction Type",V$4,"Posting Date",V$3),0))</t>
  </si>
  <si>
    <t>=IF(OR(X$1="hide",$P51=""),0,ROUND(-NL("SUM","G/L Entry","Amount","G/L Account No.",$P51,"Fund No.",$F$22,"Global Dimension 2 Code",$F$12,"Company=",$D$6,"Transaction Type",X$4,"Posting Date",X$3),0))</t>
  </si>
  <si>
    <t>=IF(OR(Z$1="hide",$P51=""),0,ROUND(-NL("SUM","G/L Entry","Amount","G/L Account No.",$P51,"Fund No.",$F$22,"Global Dimension 2 Code",$F$12,"Company=",$D$6,"Transaction Type",Z$4,"Posting Date",Z$3),0))</t>
  </si>
  <si>
    <t>=IF(OR(AB$1="hide",$P51=""),0,ROUND(-NL("SUM","G/L Entry","Amount","G/L Account No.",$P51,"Fund No.",$F$22,"Global Dimension 2 Code",$F$12,"Company=",$D$6,"Transaction Type",AB$4,"Posting Date",AB$3),0))</t>
  </si>
  <si>
    <t>=IF(OR(AD$1="hide",$P51=""),0,ROUND(-NL("SUM","G/L Entry","Amount","G/L Account No.",$P51,"Fund No.",$F$22,"Global Dimension 2 Code",$F$12,"Company=",$D$6,"Transaction Type",AD$4,"Posting Date",AD$3),0))</t>
  </si>
  <si>
    <t>=IF(OR(AF$1="hide",$P51=""),0,ROUND(-NL("SUM","G/L Entry","Amount","G/L Account No.",$P51,"Fund No.",$F$22,"Global Dimension 2 Code",$F$12,"Company=",$D$6,"Transaction Type",AF$4,"Posting Date",AF$3),0))</t>
  </si>
  <si>
    <t>=IF(OR(AH$1="hide",$P51=""),0,ROUND(-NL("SUM","G/L Entry","Amount","G/L Account No.",$P51,"Fund No.",$F$22,"Global Dimension 2 Code",$F$12,"Company=",$D$6,"Transaction Type",AH$4,"Posting Date",AH$3),0))</t>
  </si>
  <si>
    <t>=+AF51-AH51</t>
  </si>
  <si>
    <t>=IF(ISERROR(AH51+AJ51),0,(AH51+AJ51))</t>
  </si>
  <si>
    <t>=IF($F$13="yes",0,IF($P51="",0,-ROUND(NL("SUM","G/L Budget Entry","Amount","Fund No.",$F$22,"G/L Account No.",$P51,"Company=",$D$6,"Global Dimension 2 Code",$F$12,"Date",$AN$3),0)))</t>
  </si>
  <si>
    <t>=IF($F$13="YES",AF51,AN51)</t>
  </si>
  <si>
    <t>=ABS(SUMIF(V51:AP51,"&gt;0")-SUMIF(V51:AP51,"&lt;0"))</t>
  </si>
  <si>
    <t>=IF(AQ52=0,"Hide","Show")</t>
  </si>
  <si>
    <t>="369940"</t>
  </si>
  <si>
    <t>=IF(K52="","8888888",K52)</t>
  </si>
  <si>
    <t>=K52</t>
  </si>
  <si>
    <t>=IF($P52="","",(NL("Rows","G/L Account","Name","No.",$P52,"Company=",$D$6)))</t>
  </si>
  <si>
    <t>=IF($P52="",0,ROUND(-NL("SUM","G/L Entry","Amount","G/L Account No.",$P52,"Fund No.",$F$22,"Global Dimension 2 Code",$F$12,"Company=",$D$6,"Transaction Type",T$4,"Posting Date",T$3),0))</t>
  </si>
  <si>
    <t>=IF(OR(V$1="hide",$P52=""),0,ROUND(-NL("SUM","G/L Entry","Amount","G/L Account No.",$P52,"Fund No.",$F$22,"Global Dimension 2 Code",$F$12,"Company=",$D$6,"Transaction Type",V$4,"Posting Date",V$3),0))</t>
  </si>
  <si>
    <t>=IF(OR(X$1="hide",$P52=""),0,ROUND(-NL("SUM","G/L Entry","Amount","G/L Account No.",$P52,"Fund No.",$F$22,"Global Dimension 2 Code",$F$12,"Company=",$D$6,"Transaction Type",X$4,"Posting Date",X$3),0))</t>
  </si>
  <si>
    <t>=IF(OR(Z$1="hide",$P52=""),0,ROUND(-NL("SUM","G/L Entry","Amount","G/L Account No.",$P52,"Fund No.",$F$22,"Global Dimension 2 Code",$F$12,"Company=",$D$6,"Transaction Type",Z$4,"Posting Date",Z$3),0))</t>
  </si>
  <si>
    <t>=IF(OR(AB$1="hide",$P52=""),0,ROUND(-NL("SUM","G/L Entry","Amount","G/L Account No.",$P52,"Fund No.",$F$22,"Global Dimension 2 Code",$F$12,"Company=",$D$6,"Transaction Type",AB$4,"Posting Date",AB$3),0))</t>
  </si>
  <si>
    <t>=IF(OR(AD$1="hide",$P52=""),0,ROUND(-NL("SUM","G/L Entry","Amount","G/L Account No.",$P52,"Fund No.",$F$22,"Global Dimension 2 Code",$F$12,"Company=",$D$6,"Transaction Type",AD$4,"Posting Date",AD$3),0))</t>
  </si>
  <si>
    <t>=IF(OR(AF$1="hide",$P52=""),0,ROUND(-NL("SUM","G/L Entry","Amount","G/L Account No.",$P52,"Fund No.",$F$22,"Global Dimension 2 Code",$F$12,"Company=",$D$6,"Transaction Type",AF$4,"Posting Date",AF$3),0))</t>
  </si>
  <si>
    <t>=IF(OR(AH$1="hide",$P52=""),0,ROUND(-NL("SUM","G/L Entry","Amount","G/L Account No.",$P52,"Fund No.",$F$22,"Global Dimension 2 Code",$F$12,"Company=",$D$6,"Transaction Type",AH$4,"Posting Date",AH$3),0))</t>
  </si>
  <si>
    <t>=+AF52-AH52</t>
  </si>
  <si>
    <t>=IF(ISERROR(AH52+AJ52),0,(AH52+AJ52))</t>
  </si>
  <si>
    <t>=IF($F$13="yes",0,IF($P52="",0,-ROUND(NL("SUM","G/L Budget Entry","Amount","Fund No.",$F$22,"G/L Account No.",$P52,"Company=",$D$6,"Global Dimension 2 Code",$F$12,"Date",$AN$3),0)))</t>
  </si>
  <si>
    <t>=IF($F$13="YES",AF52,AN52)</t>
  </si>
  <si>
    <t>=ABS(SUMIF(V52:AP52,"&gt;0")-SUMIF(V52:AP52,"&lt;0"))</t>
  </si>
  <si>
    <t>="369941"</t>
  </si>
  <si>
    <t>=IF(K53="","8888888",K53)</t>
  </si>
  <si>
    <t>=IF($P53="",0,ROUND(-NL("SUM","G/L Entry","Amount","G/L Account No.",$P53,"Fund No.",$F$22,"Global Dimension 2 Code",$F$12,"Company=",$D$6,"Transaction Type",T$4,"Posting Date",T$3),0))</t>
  </si>
  <si>
    <t>=IF(OR(V$1="hide",$P53=""),0,ROUND(-NL("SUM","G/L Entry","Amount","G/L Account No.",$P53,"Fund No.",$F$22,"Global Dimension 2 Code",$F$12,"Company=",$D$6,"Transaction Type",V$4,"Posting Date",V$3),0))</t>
  </si>
  <si>
    <t>=IF(OR(X$1="hide",$P53=""),0,ROUND(-NL("SUM","G/L Entry","Amount","G/L Account No.",$P53,"Fund No.",$F$22,"Global Dimension 2 Code",$F$12,"Company=",$D$6,"Transaction Type",X$4,"Posting Date",X$3),0))</t>
  </si>
  <si>
    <t>=IF(OR(Z$1="hide",$P53=""),0,ROUND(-NL("SUM","G/L Entry","Amount","G/L Account No.",$P53,"Fund No.",$F$22,"Global Dimension 2 Code",$F$12,"Company=",$D$6,"Transaction Type",Z$4,"Posting Date",Z$3),0))</t>
  </si>
  <si>
    <t>=IF(OR(AB$1="hide",$P53=""),0,ROUND(-NL("SUM","G/L Entry","Amount","G/L Account No.",$P53,"Fund No.",$F$22,"Global Dimension 2 Code",$F$12,"Company=",$D$6,"Transaction Type",AB$4,"Posting Date",AB$3),0))</t>
  </si>
  <si>
    <t>=IF(OR(AD$1="hide",$P53=""),0,ROUND(-NL("SUM","G/L Entry","Amount","G/L Account No.",$P53,"Fund No.",$F$22,"Global Dimension 2 Code",$F$12,"Company=",$D$6,"Transaction Type",AD$4,"Posting Date",AD$3),0))</t>
  </si>
  <si>
    <t>=IF(OR(AF$1="hide",$P53=""),0,ROUND(-NL("SUM","G/L Entry","Amount","G/L Account No.",$P53,"Fund No.",$F$22,"Global Dimension 2 Code",$F$12,"Company=",$D$6,"Transaction Type",AF$4,"Posting Date",AF$3),0))</t>
  </si>
  <si>
    <t>=IF(OR(AH$1="hide",$P53=""),0,ROUND(-NL("SUM","G/L Entry","Amount","G/L Account No.",$P53,"Fund No.",$F$22,"Global Dimension 2 Code",$F$12,"Company=",$D$6,"Transaction Type",AH$4,"Posting Date",AH$3),0))</t>
  </si>
  <si>
    <t>=+AF53-AH53</t>
  </si>
  <si>
    <t>=IF($F$13="yes",0,IF($P53="",0,-ROUND(NL("SUM","G/L Budget Entry","Amount","Fund No.",$F$22,"G/L Account No.",$P53,"Company=",$D$6,"Global Dimension 2 Code",$F$12,"Date",$AN$3),0)))</t>
  </si>
  <si>
    <t>=IF(AQ54=0,"Hide","Show")</t>
  </si>
  <si>
    <t>="369980"</t>
  </si>
  <si>
    <t>=IF(K54="","8888888",K54)</t>
  </si>
  <si>
    <t>=K54</t>
  </si>
  <si>
    <t>=IF($P54="","",(NL("Rows","G/L Account","Name","No.",$P54,"Company=",$D$6)))</t>
  </si>
  <si>
    <t>=IF($P54="",0,ROUND(-NL("SUM","G/L Entry","Amount","G/L Account No.",$P54,"Fund No.",$F$22,"Global Dimension 2 Code",$F$12,"Company=",$D$6,"Transaction Type",T$4,"Posting Date",T$3),0))</t>
  </si>
  <si>
    <t>=IF(OR(V$1="hide",$P54=""),0,ROUND(-NL("SUM","G/L Entry","Amount","G/L Account No.",$P54,"Fund No.",$F$22,"Global Dimension 2 Code",$F$12,"Company=",$D$6,"Transaction Type",V$4,"Posting Date",V$3),0))</t>
  </si>
  <si>
    <t>=IF(OR(X$1="hide",$P54=""),0,ROUND(-NL("SUM","G/L Entry","Amount","G/L Account No.",$P54,"Fund No.",$F$22,"Global Dimension 2 Code",$F$12,"Company=",$D$6,"Transaction Type",X$4,"Posting Date",X$3),0))</t>
  </si>
  <si>
    <t>=IF(OR(Z$1="hide",$P54=""),0,ROUND(-NL("SUM","G/L Entry","Amount","G/L Account No.",$P54,"Fund No.",$F$22,"Global Dimension 2 Code",$F$12,"Company=",$D$6,"Transaction Type",Z$4,"Posting Date",Z$3),0))</t>
  </si>
  <si>
    <t>=IF(OR(AB$1="hide",$P54=""),0,ROUND(-NL("SUM","G/L Entry","Amount","G/L Account No.",$P54,"Fund No.",$F$22,"Global Dimension 2 Code",$F$12,"Company=",$D$6,"Transaction Type",AB$4,"Posting Date",AB$3),0))</t>
  </si>
  <si>
    <t>=IF(OR(AD$1="hide",$P54=""),0,ROUND(-NL("SUM","G/L Entry","Amount","G/L Account No.",$P54,"Fund No.",$F$22,"Global Dimension 2 Code",$F$12,"Company=",$D$6,"Transaction Type",AD$4,"Posting Date",AD$3),0))</t>
  </si>
  <si>
    <t>=IF(OR(AF$1="hide",$P54=""),0,ROUND(-NL("SUM","G/L Entry","Amount","G/L Account No.",$P54,"Fund No.",$F$22,"Global Dimension 2 Code",$F$12,"Company=",$D$6,"Transaction Type",AF$4,"Posting Date",AF$3),0))</t>
  </si>
  <si>
    <t>=IF(OR(AH$1="hide",$P54=""),0,ROUND(-NL("SUM","G/L Entry","Amount","G/L Account No.",$P54,"Fund No.",$F$22,"Global Dimension 2 Code",$F$12,"Company=",$D$6,"Transaction Type",AH$4,"Posting Date",AH$3),0))</t>
  </si>
  <si>
    <t>=+AF54-AH54</t>
  </si>
  <si>
    <t>=IF(ISERROR(AH54+AJ54),0,(AH54+AJ54))</t>
  </si>
  <si>
    <t>=IF($F$13="yes",0,IF($P54="",0,-ROUND(NL("SUM","G/L Budget Entry","Amount","Fund No.",$F$22,"G/L Account No.",$P54,"Company=",$D$6,"Global Dimension 2 Code",$F$12,"Date",$AN$3),0)))</t>
  </si>
  <si>
    <t>=IF($F$13="YES",AF54,AN54)</t>
  </si>
  <si>
    <t>=ABS(SUMIF(V54:AP54,"&gt;0")-SUMIF(V54:AP54,"&lt;0"))</t>
  </si>
  <si>
    <t>=NL("Rows=6","G/L Entry","Global Dimension 2 Code","G/L Account No.",$E$56,"Global Dimension 2 Code",$F$12,"Fund No.",$F$22,"Company=",$D$6,"Posting Date",$J$5)</t>
  </si>
  <si>
    <t>=B61</t>
  </si>
  <si>
    <t>=IF(I57="","9999999",I57)</t>
  </si>
  <si>
    <t>=NL("Rows","Dimension Value","Name","Code","@@"&amp;$I58,"Dimension Code","SUBACCT","Company=",$D$6)</t>
  </si>
  <si>
    <t>=IF(AQ59=0,"Hide","Show")</t>
  </si>
  <si>
    <t>=I58</t>
  </si>
  <si>
    <t>=NL("Rows", NL("Union", NL("allunique","G/L Entry",$E$20,$E$20,$E$56,"Fund No.",$F$22,$E$23,$I59,"Company=",$D$6,"Posting Date",$J$5),NL("allunique","G/L Budget Entry",$E$20,$E$20,$E$56,"Fund Code",$F$22,$E$23,$I59,"Company=",$D$6,"Date",$J$6)))</t>
  </si>
  <si>
    <t>=K59 &amp;" "&amp;I59</t>
  </si>
  <si>
    <t>=K59</t>
  </si>
  <si>
    <t>=IF($P59="","",(NL("Rows","G/L Account","Name","No.",$P59,"Company=",$D$6)))</t>
  </si>
  <si>
    <t>=IF($P59="",0,ROUND(-NL("SUM","G/L Entry","Amount","G/L Account No.",$P59,"Fund No.",$F$22,"Global Dimension 2 Code",$I59,"Company=",$D$6,"Transaction Type",T$4,"Posting Date",T$3),0))</t>
  </si>
  <si>
    <t>=IF(OR(V$1="hide",$P59=""),0,ROUND(-NL("SUM","G/L Entry","Amount","G/L Account No.",$P59,"Fund No.",$F$22,"Global Dimension 2 Code",$I59,"Company=",$D$6,"Transaction Type",V$4,"Posting Date",V$3),0))</t>
  </si>
  <si>
    <t>=IF(OR(X$1="hide",$P59=""),0,ROUND(-NL("SUM","G/L Entry","Amount","G/L Account No.",$P59,"Fund No.",$F$22,"Global Dimension 2 Code",I59,"Company=",$D$6,"Transaction Type",X$4,"Posting Date",X$3),0))</t>
  </si>
  <si>
    <t>=IF(OR(Z$1="hide",$P59=""),0,ROUND(-NL("SUM","G/L Entry","Amount","G/L Account No.",$P59,"Fund No.",$F$22,"Global Dimension 2 Code",$I59,"Company=",$D$6,"Transaction Type",Z$4,"Posting Date",Z$3),0))</t>
  </si>
  <si>
    <t>=IF(OR(AB$1="hide",$P59=""),0,ROUND(-NL("SUM","G/L Entry","Amount","G/L Account No.",$P59,"Fund No.",$F$22,"Global Dimension 2 Code",$I59,"Company=",$D$6,"Transaction Type",AB$4,"Posting Date",AB$3),0))</t>
  </si>
  <si>
    <t>=IF(OR(AD$1="hide",$P59=""),0,ROUND(-NL("SUM","G/L Entry","Amount","G/L Account No.",$P59,"Fund No.",$F$22,"Global Dimension 2 Code",$I59,"Company=",$D$6,"Transaction Type",AD$4,"Posting Date",AD$3),0))</t>
  </si>
  <si>
    <t>=IF(OR(AF$1="hide",$P59=""),0,ROUND(-NL("SUM","G/L Entry","Amount","G/L Account No.",$P59,"Fund No.",$F$22,"Global Dimension 2 Code",$I59,"Company=",$D$6,"Transaction Type",AF$4,"Posting Date",AF$3),0))</t>
  </si>
  <si>
    <t>=IF(OR(AH$1="hide",$P59=""),0,ROUND(-NL("SUM","G/L Entry","Amount","G/L Account No.",$P59,"Fund No.",$F$22,"Global Dimension 2 Code",$I59,"Company=",$D$6,"Transaction Type",AH$4,"Posting Date",AH$3),0))</t>
  </si>
  <si>
    <t>=+AF59-AH59</t>
  </si>
  <si>
    <t>=IF(ISERROR(AH59+AJ59),0,(AH59+AJ59))</t>
  </si>
  <si>
    <t>=IF($F$13="yes",0,IF($P59="",0,-ROUND(NL("SUM","G/L Budget Entry","Amount","Fund No.",$F$22,"G/L Account No.",$P59,"Company=",$D$6,"Global Dimension 2 Code",$I59,"Date",$AN$3),0)))</t>
  </si>
  <si>
    <t>=IF($F$13="YES",AF59,AN59)</t>
  </si>
  <si>
    <t>=ABS(SUMIF(V59:AP59,"&gt;0")-SUMIF(V59:AP59,"&lt;0"))</t>
  </si>
  <si>
    <t>=I59</t>
  </si>
  <si>
    <t>=IF(AQ61=0,"Hide","Show")</t>
  </si>
  <si>
    <t>=I60</t>
  </si>
  <si>
    <t>=SUM(T58:T60)</t>
  </si>
  <si>
    <t>=SUM(V58:V60)</t>
  </si>
  <si>
    <t>=SUM(X58:X60)</t>
  </si>
  <si>
    <t>=SUM(Z58:Z60)</t>
  </si>
  <si>
    <t>=SUM(AB58:AB60)</t>
  </si>
  <si>
    <t>=SUM(AD58:AD60)</t>
  </si>
  <si>
    <t>=SUM(AF58:AF60)</t>
  </si>
  <si>
    <t>=SUM(AH58:AH60)</t>
  </si>
  <si>
    <t>=SUM(AJ58:AJ60)</t>
  </si>
  <si>
    <t>=SUM(AL58:AL60)</t>
  </si>
  <si>
    <t>=SUM(AN58:AN60)</t>
  </si>
  <si>
    <t>=SUM(AP58:AP60)</t>
  </si>
  <si>
    <t>=ABS(SUMIF(V61:AP61,"&gt;0")-SUMIF(V61:AP61,"&lt;0"))</t>
  </si>
  <si>
    <t>=I61</t>
  </si>
  <si>
    <t>=SUM(T37:T55)+SUM(AU59:AU63)</t>
  </si>
  <si>
    <t>=SUM(V37:V55)+SUM(AV59:AV63)</t>
  </si>
  <si>
    <t>=SUM(X37:X55)+SUM(AW59:AW63)</t>
  </si>
  <si>
    <t>=SUM(Z37:Z55)+SUM(AX59:AX63)</t>
  </si>
  <si>
    <t>=SUM(AB37:AB55)+SUM(AY59:AY63)</t>
  </si>
  <si>
    <t>=SUM(AD37:AD55)+SUM(AZ59:AZ63)</t>
  </si>
  <si>
    <t>=SUM(AF37:AF55)+SUM(BA59:BA63)</t>
  </si>
  <si>
    <t>=SUM(AH37:AH55)+SUM(BB59:BB63)</t>
  </si>
  <si>
    <t>=SUM(AJ37:AJ55)+SUM(BC59:BC63)</t>
  </si>
  <si>
    <t>=SUM(AL37:AL55)+SUM(BD59:BD63)</t>
  </si>
  <si>
    <t>=SUM(AN37:AN55)+SUM(BE59:BE63)</t>
  </si>
  <si>
    <t>=SUM(AP37:AP55)+SUM(BF59:BF63)</t>
  </si>
  <si>
    <t>=ABS(SUMIF(V64:AP64,"&gt;0")-SUMIF(V64:AP64,"&lt;0"))</t>
  </si>
  <si>
    <t>=IF(AQ70=0,"Hide","Show")</t>
  </si>
  <si>
    <t>=IF(AQ68=0,"Hide","Show")</t>
  </si>
  <si>
    <t>=NL("Rows", NL("Union", NL("allunique","G/L Entry",$E$20,$E$20,$E66,"Fund No.",$F$22,"Company=",$D$6,"Posting Date",$J$5),NL("allunique","G/L Budget Entry",$E$20,$E$20,$E66,"Fund Code",$F$22,"Company=",$D$6,"Date",$J$6)))</t>
  </si>
  <si>
    <t>=IF(K68="","500000 50000",K68&amp;" "&amp;"50000")</t>
  </si>
  <si>
    <t>=K68</t>
  </si>
  <si>
    <t>=IF($P68="","",(NL("Rows","G/L Account","Name","No.",$P68,"Company=",$D$6)))</t>
  </si>
  <si>
    <t>=IF(OR($F$14="no",$P68=""),0,ROUND(NL("SUM","G/L Entry","Amount","G/L Account No.",$P68,"Fund No.",$F$22,"Global Dimension 2 Code",$F$12,"Company=",$D$6,"Transaction Type",T$4,"Posting Date",T$3),0))</t>
  </si>
  <si>
    <t>=IF(OR(V$1="hide",$F$14="no",$P68=""),0,ROUND(NL("SUM","G/L Entry","Amount","G/L Account No.",$P68,"Fund No.",$F$22,"Global Dimension 2 Code",$F$12,"Company=",$D$6,"Transaction Type",V$4,"Posting Date",V$3),0))</t>
  </si>
  <si>
    <t>=IF(OR(X$1="hide",$F$14="no",$P68=""),0,ROUND(NL("SUM","G/L Entry","Amount","G/L Account No.",$P68,"Fund No.",$F$22,"Global Dimension 2 Code",$F$12,"Company=",$D$6,"Transaction Type",X$4,"Posting Date",X$3),0))</t>
  </si>
  <si>
    <t>=IF(OR(Z$1="hide",$F$14="no",$P68=""),0,ROUND(NL("SUM","G/L Entry","Amount","G/L Account No.",$P68,"Fund No.",$F$22,"Global Dimension 2 Code",$F$12,"Company=",$D$6,"Transaction Type",Z$4,"Posting Date",Z$3),0))</t>
  </si>
  <si>
    <t>=IF(OR(AB$1="hide",$F$14="no",$P68=""),0,ROUND(NL("SUM","G/L Entry","Amount","G/L Account No.",$P68,"Fund No.",$F$22,"Global Dimension 2 Code",$F$12,"Company=",$D$6,"Transaction Type",AB$4,"Posting Date",AB$3),0))</t>
  </si>
  <si>
    <t>=IF(OR(AD$1="hide",$F$14="no",$P68=""),0,ROUND(NL("SUM","G/L Entry","Amount","G/L Account No.",$P68,"Fund No.",$F$22,"Global Dimension 2 Code",$F$12,"Company=",$D$6,"Transaction Type",AD$4,"Posting Date",AD$3),0))</t>
  </si>
  <si>
    <t>=IF(OR(AF$1="hide",$F$14="no",$P68=""),0,ROUND(NL("SUM","G/L Entry","Amount","G/L Account No.",$P68,"Fund No.",$F$22,"Global Dimension 2 Code",$F$12,"Company=",$D$6,"Transaction Type",AF$4,"Posting Date",AF$3),0))</t>
  </si>
  <si>
    <t>=IF(OR(AH$1="hide",$F$14="no",$P68=""),0,SUM(ROUND(NL("SUM","G/L Entry","Amount","G/L Account No.",$P68,"Fund No.",$F$22,"Global Dimension 2 Code",$F$12,"Company=",$D$6,"Transaction Type",AH$4,"Posting Date",AH$3),0),IF($P68="549001",-$AH$105,IF($P68="549900",-$AH$105,0))))</t>
  </si>
  <si>
    <t>=IF(ISERROR(AH68+AJ68),0,(AH68+AJ68))</t>
  </si>
  <si>
    <t>=IF(OR($F$14="no",$F$13="yes"),0,IF($P68="",0,ROUND(NL("SUM","G/L Budget Entry","Amount","Fund No.",$F$22,"G/L Account No.",$P68,"Company=",$D$6,"Global Dimension 2 Code",$F$12,"Date",$AN$3),0)))</t>
  </si>
  <si>
    <t>=IF($F$13="YES",AF68,AN68)</t>
  </si>
  <si>
    <t>=ABS(SUMIF(V68:AP68,"&gt;0")-SUMIF(V68:AP68,"&lt;0"))</t>
  </si>
  <si>
    <t>=SUM(T67:T69)</t>
  </si>
  <si>
    <t>=SUM(V67:V69)</t>
  </si>
  <si>
    <t>=SUM(X67:X69)</t>
  </si>
  <si>
    <t>=SUM(Z67:Z69)</t>
  </si>
  <si>
    <t>=SUM(AB67:AB69)</t>
  </si>
  <si>
    <t>=SUM(AD67:AD69)</t>
  </si>
  <si>
    <t>=SUM(AF67:AF69)</t>
  </si>
  <si>
    <t>=SUM(AH67:AH69)</t>
  </si>
  <si>
    <t>=SUM(AJ67:AJ69)</t>
  </si>
  <si>
    <t>=SUM(AL67:AL69)</t>
  </si>
  <si>
    <t>=SUM(AN67:AN69)</t>
  </si>
  <si>
    <t>=SUM(AP67:AP69)</t>
  </si>
  <si>
    <t>=ABS(SUMIF(V70:AP70,"&gt;0")-SUMIF(V70:AP70,"&lt;0"))</t>
  </si>
  <si>
    <t>=B70</t>
  </si>
  <si>
    <t>=B71</t>
  </si>
  <si>
    <t>=IF(OR(VALUE($F$22)&lt;=399,VALUE($F$22)&gt;499,$F$14="NO"),0,T64-T70)</t>
  </si>
  <si>
    <t>=IF(OR(VALUE($F$22)&lt;=399,VALUE($F$22)&gt;499,$F$14="NO"),0,V64-V70)</t>
  </si>
  <si>
    <t>=IF(OR(VALUE($F$22)&lt;=399,VALUE($F$22)&gt;499,$F$14="NO"),0,X64-X70)</t>
  </si>
  <si>
    <t>=IF(OR(VALUE($F$22)&lt;=399,VALUE($F$22)&gt;499,$F$14="NO"),0,Z64-Z70)</t>
  </si>
  <si>
    <t>=IF(OR(VALUE($F$22)&lt;=399,VALUE($F$22)&gt;499,$F$14="NO"),0,AB64-AB70)</t>
  </si>
  <si>
    <t>=IF(OR(VALUE($F$22)&lt;=399,VALUE($F$22)&gt;499,$F$14="NO"),0,AD64-AD70)</t>
  </si>
  <si>
    <t>=IF(OR(VALUE($F$22)&lt;=399,VALUE($F$22)&gt;499,$F$14="NO"),0,AF64-AF70)</t>
  </si>
  <si>
    <t>=IF(OR(VALUE($F$22)&lt;=399,VALUE($F$22)&gt;499,$F$14="NO"),0,AH64-AH70)</t>
  </si>
  <si>
    <t>=IF(OR(VALUE($F$22)&lt;=399,VALUE($F$22)&gt;499,$F$14="NO"),0,AJ64-AJ70)</t>
  </si>
  <si>
    <t>=IF(OR(VALUE($F$22)&lt;=399,VALUE($F$22)&gt;499,$F$14="NO"),0,AL64-AL70)</t>
  </si>
  <si>
    <t>=IF(OR(VALUE($F$22)&lt;=399,VALUE($F$22)&gt;499,$F$14="NO"),0,AN64-AN70)</t>
  </si>
  <si>
    <t>=IF(OR(VALUE($F$22)&lt;=399,VALUE($F$22)&gt;499,$F$14="NO"),0,AP64-AP70)</t>
  </si>
  <si>
    <t>=ABS(SUMIF(V72:AP72,"&gt;0")-SUMIF(V72:AP72,"&lt;0"))</t>
  </si>
  <si>
    <t>=B72</t>
  </si>
  <si>
    <t>=B103</t>
  </si>
  <si>
    <t>=IF(AQ78=0,"Hide","Show")</t>
  </si>
  <si>
    <t>=NL("Rows", NL("Union", NL("allunique","G/L Entry",$E$20,$E$20,$E77,"Fund No.",$F$22,$E$21,$H77,"Company=",$D$6,"Posting Date",$J$5),NL("allunique","G/L Budget Entry",$E$20,$E$20,$E77,"Fund Code",$F$22,$E$21,$H77,"Company=",$D$6,"Date",$J$6)))</t>
  </si>
  <si>
    <t>=IF(K78="","500000 51699",K78&amp;" "&amp;"51699")</t>
  </si>
  <si>
    <t>=K78</t>
  </si>
  <si>
    <t>=IF($P78="","",(NL("Rows","G/L Account","Name","No.",$P78,"Company=",$D$6)))</t>
  </si>
  <si>
    <t>=IF($P78="",0,ROUND(NL("SUM","G/L Entry","Amount","G/L Account No.",$P78,"Fund No.",$F$22,"Global Dimension 2 Code",$F$12,"Global Dimension 1 Code",$H$77,"Company=",$D$6,"Transaction Type",T$4,"Posting Date",T$3),0))</t>
  </si>
  <si>
    <t>=IF(OR(V$1="hide",$P78=""),0,ROUND(NL("SUM","G/L Entry","Amount","G/L Account No.",$P78,"Fund No.",$F$22,"Global Dimension 2 Code",$F$12,"Global Dimension 1 Code",$H$77,"Company=",$D$6,"Transaction Type",V$4,"Posting Date",V$3),0))</t>
  </si>
  <si>
    <t>=IF(OR(X$1="hide",$P78=""),0,ROUND(NL("SUM","G/L Entry","Amount","G/L Account No.",$P78,"Fund No.",$F$22,"Global Dimension 2 Code",$F$12,"Global Dimension 1 Code",$H$77,"Company=",$D$6,"Transaction Type",X$4,"Posting Date",X$3),0))</t>
  </si>
  <si>
    <t>=IF(OR(Z$1="hide",$P78=""),0,ROUND(NL("SUM","G/L Entry","Amount","G/L Account No.",$P78,"Fund No.",$F$22,"Global Dimension 2 Code",$F$12,"Global Dimension 1 Code",$H$77,"Company=",$D$6,"Transaction Type",Z$4,"Posting Date",Z$3),0))</t>
  </si>
  <si>
    <t>=IF(OR(AB$1="hide",$P78=""),0,ROUND(NL("SUM","G/L Entry","Amount","G/L Account No.",$P78,"Fund No.",$F$22,"Global Dimension 2 Code",$F$12,"Global Dimension 1 Code",$H$77,"Company=",$D$6,"Transaction Type",AB$4,"Posting Date",AB$3),0))</t>
  </si>
  <si>
    <t>=IF(OR(AD$1="hide",$P78=""),0,ROUND(NL("SUM","G/L Entry","Amount","G/L Account No.",$P78,"Fund No.",$F$22,"Global Dimension 2 Code",$F$12,"Global Dimension 1 Code",$H$77,"Company=",$D$6,"Transaction Type",AD$4,"Posting Date",AD$3),0))</t>
  </si>
  <si>
    <t>=IF(OR(AF$1="hide",$P78=""),0,ROUND(NL("SUM","G/L Entry","Amount","G/L Account No.",$P78,"Fund No.",$F$22,"Global Dimension 2 Code",$F$12,"Global Dimension 1 Code",$H$77,"Company=",$D$6,"Transaction Type",AF$4,"Posting Date",AF$3),0))</t>
  </si>
  <si>
    <t>=IF(OR(AH$1="hide",$P78=""),0,SUM(ROUND(NL("SUM","G/L Entry","Amount","G/L Account No.",$P78,"Fund No.",$F$22,"Global Dimension 2 Code",$F$12,"Global Dimension 1 Code",$H$77,"Company=",$D$6,"Transaction Type",AH$4,"Posting Date",AH$3),0),IF($P78="549001",-$AH$105,IF($P78="549900",-$AH$105,0))))</t>
  </si>
  <si>
    <t>=IF(ISERROR(AH78+AJ78),0,(AH78+AJ78))</t>
  </si>
  <si>
    <t>=IF($F$13="yes",0,IF($P78="",0,ROUND(NL("SUM","G/L Budget Entry","Amount","Fund No.",$F$22,"G/L Account No.",$P78,"Global Dimension 1 Code",$H$77,"Company=",$D$6,"Global Dimension 2 Code",$F$12,"Date",$AN$3),0)))</t>
  </si>
  <si>
    <t>=IF($F$13="YES",AF78,AN78)</t>
  </si>
  <si>
    <t>=ABS(SUMIF(V78:AP78,"&gt;0")-SUMIF(V78:AP78,"&lt;0"))</t>
  </si>
  <si>
    <t>="521001"</t>
  </si>
  <si>
    <t>=IF(K79="","500000 51699",K79&amp;" "&amp;"51699")</t>
  </si>
  <si>
    <t>=IF($P79="","",(NL("Rows","G/L Account","Name","No.",$P79,"Company=",$D$6)))</t>
  </si>
  <si>
    <t>=IF($P79="",0,ROUND(NL("SUM","G/L Entry","Amount","G/L Account No.",$P79,"Fund No.",$F$22,"Global Dimension 2 Code",$F$12,"Global Dimension 1 Code",$H$77,"Company=",$D$6,"Transaction Type",T$4,"Posting Date",T$3),0))</t>
  </si>
  <si>
    <t>=IF(OR(V$1="hide",$P79=""),0,ROUND(NL("SUM","G/L Entry","Amount","G/L Account No.",$P79,"Fund No.",$F$22,"Global Dimension 2 Code",$F$12,"Global Dimension 1 Code",$H$77,"Company=",$D$6,"Transaction Type",V$4,"Posting Date",V$3),0))</t>
  </si>
  <si>
    <t>=IF(OR(X$1="hide",$P79=""),0,ROUND(NL("SUM","G/L Entry","Amount","G/L Account No.",$P79,"Fund No.",$F$22,"Global Dimension 2 Code",$F$12,"Global Dimension 1 Code",$H$77,"Company=",$D$6,"Transaction Type",X$4,"Posting Date",X$3),0))</t>
  </si>
  <si>
    <t>=IF(OR(Z$1="hide",$P79=""),0,ROUND(NL("SUM","G/L Entry","Amount","G/L Account No.",$P79,"Fund No.",$F$22,"Global Dimension 2 Code",$F$12,"Global Dimension 1 Code",$H$77,"Company=",$D$6,"Transaction Type",Z$4,"Posting Date",Z$3),0))</t>
  </si>
  <si>
    <t>=IF(OR(AB$1="hide",$P79=""),0,ROUND(NL("SUM","G/L Entry","Amount","G/L Account No.",$P79,"Fund No.",$F$22,"Global Dimension 2 Code",$F$12,"Global Dimension 1 Code",$H$77,"Company=",$D$6,"Transaction Type",AB$4,"Posting Date",AB$3),0))</t>
  </si>
  <si>
    <t>=IF(OR(AD$1="hide",$P79=""),0,ROUND(NL("SUM","G/L Entry","Amount","G/L Account No.",$P79,"Fund No.",$F$22,"Global Dimension 2 Code",$F$12,"Global Dimension 1 Code",$H$77,"Company=",$D$6,"Transaction Type",AD$4,"Posting Date",AD$3),0))</t>
  </si>
  <si>
    <t>=IF(OR(AF$1="hide",$P79=""),0,ROUND(NL("SUM","G/L Entry","Amount","G/L Account No.",$P79,"Fund No.",$F$22,"Global Dimension 2 Code",$F$12,"Global Dimension 1 Code",$H$77,"Company=",$D$6,"Transaction Type",AF$4,"Posting Date",AF$3),0))</t>
  </si>
  <si>
    <t>=IF(OR(AH$1="hide",$P79=""),0,SUM(ROUND(NL("SUM","G/L Entry","Amount","G/L Account No.",$P79,"Fund No.",$F$22,"Global Dimension 2 Code",$F$12,"Global Dimension 1 Code",$H$77,"Company=",$D$6,"Transaction Type",AH$4,"Posting Date",AH$3),0),IF($P79="549001",-$AH$105,IF($P79="549900",-$AH$105,0))))</t>
  </si>
  <si>
    <t>=IF($F$13="yes",0,IF($P79="",0,ROUND(NL("SUM","G/L Budget Entry","Amount","Fund No.",$F$22,"G/L Account No.",$P79,"Global Dimension 1 Code",$H$77,"Company=",$D$6,"Global Dimension 2 Code",$F$12,"Date",$AN$3),0)))</t>
  </si>
  <si>
    <t>=IF(AQ80=0,"Hide","Show")</t>
  </si>
  <si>
    <t>="531002"</t>
  </si>
  <si>
    <t>=IF(K80="","500000 51699",K80&amp;" "&amp;"51699")</t>
  </si>
  <si>
    <t>=K80</t>
  </si>
  <si>
    <t>=IF($P80="","",(NL("Rows","G/L Account","Name","No.",$P80,"Company=",$D$6)))</t>
  </si>
  <si>
    <t>=IF($P80="",0,ROUND(NL("SUM","G/L Entry","Amount","G/L Account No.",$P80,"Fund No.",$F$22,"Global Dimension 2 Code",$F$12,"Global Dimension 1 Code",$H$77,"Company=",$D$6,"Transaction Type",T$4,"Posting Date",T$3),0))</t>
  </si>
  <si>
    <t>=IF(OR(V$1="hide",$P80=""),0,ROUND(NL("SUM","G/L Entry","Amount","G/L Account No.",$P80,"Fund No.",$F$22,"Global Dimension 2 Code",$F$12,"Global Dimension 1 Code",$H$77,"Company=",$D$6,"Transaction Type",V$4,"Posting Date",V$3),0))</t>
  </si>
  <si>
    <t>=IF(OR(X$1="hide",$P80=""),0,ROUND(NL("SUM","G/L Entry","Amount","G/L Account No.",$P80,"Fund No.",$F$22,"Global Dimension 2 Code",$F$12,"Global Dimension 1 Code",$H$77,"Company=",$D$6,"Transaction Type",X$4,"Posting Date",X$3),0))</t>
  </si>
  <si>
    <t>=IF(OR(Z$1="hide",$P80=""),0,ROUND(NL("SUM","G/L Entry","Amount","G/L Account No.",$P80,"Fund No.",$F$22,"Global Dimension 2 Code",$F$12,"Global Dimension 1 Code",$H$77,"Company=",$D$6,"Transaction Type",Z$4,"Posting Date",Z$3),0))</t>
  </si>
  <si>
    <t>=IF(OR(AB$1="hide",$P80=""),0,ROUND(NL("SUM","G/L Entry","Amount","G/L Account No.",$P80,"Fund No.",$F$22,"Global Dimension 2 Code",$F$12,"Global Dimension 1 Code",$H$77,"Company=",$D$6,"Transaction Type",AB$4,"Posting Date",AB$3),0))</t>
  </si>
  <si>
    <t>=IF(OR(AD$1="hide",$P80=""),0,ROUND(NL("SUM","G/L Entry","Amount","G/L Account No.",$P80,"Fund No.",$F$22,"Global Dimension 2 Code",$F$12,"Global Dimension 1 Code",$H$77,"Company=",$D$6,"Transaction Type",AD$4,"Posting Date",AD$3),0))</t>
  </si>
  <si>
    <t>=IF(OR(AF$1="hide",$P80=""),0,ROUND(NL("SUM","G/L Entry","Amount","G/L Account No.",$P80,"Fund No.",$F$22,"Global Dimension 2 Code",$F$12,"Global Dimension 1 Code",$H$77,"Company=",$D$6,"Transaction Type",AF$4,"Posting Date",AF$3),0))</t>
  </si>
  <si>
    <t>=IF(OR(AH$1="hide",$P80=""),0,SUM(ROUND(NL("SUM","G/L Entry","Amount","G/L Account No.",$P80,"Fund No.",$F$22,"Global Dimension 2 Code",$F$12,"Global Dimension 1 Code",$H$77,"Company=",$D$6,"Transaction Type",AH$4,"Posting Date",AH$3),0),IF($P80="549001",-$AH$105,IF($P80="549900",-$AH$105,0))))</t>
  </si>
  <si>
    <t>=IF(ISERROR(AH80+AJ80),0,(AH80+AJ80))</t>
  </si>
  <si>
    <t>=IF($F$13="yes",0,IF($P80="",0,ROUND(NL("SUM","G/L Budget Entry","Amount","Fund No.",$F$22,"G/L Account No.",$P80,"Global Dimension 1 Code",$H$77,"Company=",$D$6,"Global Dimension 2 Code",$F$12,"Date",$AN$3),0)))</t>
  </si>
  <si>
    <t>=IF($F$13="YES",AF80,AN80)</t>
  </si>
  <si>
    <t>=ABS(SUMIF(V80:AP80,"&gt;0")-SUMIF(V80:AP80,"&lt;0"))</t>
  </si>
  <si>
    <t>="531012"</t>
  </si>
  <si>
    <t>=IF(K81="","500000 51699",K81&amp;" "&amp;"51699")</t>
  </si>
  <si>
    <t>=K81</t>
  </si>
  <si>
    <t>=IF($P81="","",(NL("Rows","G/L Account","Name","No.",$P81,"Company=",$D$6)))</t>
  </si>
  <si>
    <t>=IF($P81="",0,ROUND(NL("SUM","G/L Entry","Amount","G/L Account No.",$P81,"Fund No.",$F$22,"Global Dimension 2 Code",$F$12,"Global Dimension 1 Code",$H$77,"Company=",$D$6,"Transaction Type",T$4,"Posting Date",T$3),0))</t>
  </si>
  <si>
    <t>=IF(OR(V$1="hide",$P81=""),0,ROUND(NL("SUM","G/L Entry","Amount","G/L Account No.",$P81,"Fund No.",$F$22,"Global Dimension 2 Code",$F$12,"Global Dimension 1 Code",$H$77,"Company=",$D$6,"Transaction Type",V$4,"Posting Date",V$3),0))</t>
  </si>
  <si>
    <t>=IF(OR(X$1="hide",$P81=""),0,ROUND(NL("SUM","G/L Entry","Amount","G/L Account No.",$P81,"Fund No.",$F$22,"Global Dimension 2 Code",$F$12,"Global Dimension 1 Code",$H$77,"Company=",$D$6,"Transaction Type",X$4,"Posting Date",X$3),0))</t>
  </si>
  <si>
    <t>=IF(OR(Z$1="hide",$P81=""),0,ROUND(NL("SUM","G/L Entry","Amount","G/L Account No.",$P81,"Fund No.",$F$22,"Global Dimension 2 Code",$F$12,"Global Dimension 1 Code",$H$77,"Company=",$D$6,"Transaction Type",Z$4,"Posting Date",Z$3),0))</t>
  </si>
  <si>
    <t>=IF(OR(AB$1="hide",$P81=""),0,ROUND(NL("SUM","G/L Entry","Amount","G/L Account No.",$P81,"Fund No.",$F$22,"Global Dimension 2 Code",$F$12,"Global Dimension 1 Code",$H$77,"Company=",$D$6,"Transaction Type",AB$4,"Posting Date",AB$3),0))</t>
  </si>
  <si>
    <t>=IF(OR(AD$1="hide",$P81=""),0,ROUND(NL("SUM","G/L Entry","Amount","G/L Account No.",$P81,"Fund No.",$F$22,"Global Dimension 2 Code",$F$12,"Global Dimension 1 Code",$H$77,"Company=",$D$6,"Transaction Type",AD$4,"Posting Date",AD$3),0))</t>
  </si>
  <si>
    <t>=IF(OR(AF$1="hide",$P81=""),0,ROUND(NL("SUM","G/L Entry","Amount","G/L Account No.",$P81,"Fund No.",$F$22,"Global Dimension 2 Code",$F$12,"Global Dimension 1 Code",$H$77,"Company=",$D$6,"Transaction Type",AF$4,"Posting Date",AF$3),0))</t>
  </si>
  <si>
    <t>=IF(OR(AH$1="hide",$P81=""),0,SUM(ROUND(NL("SUM","G/L Entry","Amount","G/L Account No.",$P81,"Fund No.",$F$22,"Global Dimension 2 Code",$F$12,"Global Dimension 1 Code",$H$77,"Company=",$D$6,"Transaction Type",AH$4,"Posting Date",AH$3),0),IF($P81="549001",-$AH$105,IF($P81="549900",-$AH$105,0))))</t>
  </si>
  <si>
    <t>=IF(ISERROR(AH81+AJ81),0,(AH81+AJ81))</t>
  </si>
  <si>
    <t>=IF($F$13="yes",0,IF($P81="",0,ROUND(NL("SUM","G/L Budget Entry","Amount","Fund No.",$F$22,"G/L Account No.",$P81,"Global Dimension 1 Code",$H$77,"Company=",$D$6,"Global Dimension 2 Code",$F$12,"Date",$AN$3),0)))</t>
  </si>
  <si>
    <t>=IF($F$13="YES",AF81,AN81)</t>
  </si>
  <si>
    <t>=IF(AQ82=0,"Hide","Show")</t>
  </si>
  <si>
    <t>="531013"</t>
  </si>
  <si>
    <t>=IF(K82="","500000 51699",K82&amp;" "&amp;"51699")</t>
  </si>
  <si>
    <t>=K82</t>
  </si>
  <si>
    <t>=IF($P82="","",(NL("Rows","G/L Account","Name","No.",$P82,"Company=",$D$6)))</t>
  </si>
  <si>
    <t>=IF($P82="",0,ROUND(NL("SUM","G/L Entry","Amount","G/L Account No.",$P82,"Fund No.",$F$22,"Global Dimension 2 Code",$F$12,"Global Dimension 1 Code",$H$77,"Company=",$D$6,"Transaction Type",T$4,"Posting Date",T$3),0))</t>
  </si>
  <si>
    <t>=IF(OR(V$1="hide",$P82=""),0,ROUND(NL("SUM","G/L Entry","Amount","G/L Account No.",$P82,"Fund No.",$F$22,"Global Dimension 2 Code",$F$12,"Global Dimension 1 Code",$H$77,"Company=",$D$6,"Transaction Type",V$4,"Posting Date",V$3),0))</t>
  </si>
  <si>
    <t>=IF(OR(X$1="hide",$P82=""),0,ROUND(NL("SUM","G/L Entry","Amount","G/L Account No.",$P82,"Fund No.",$F$22,"Global Dimension 2 Code",$F$12,"Global Dimension 1 Code",$H$77,"Company=",$D$6,"Transaction Type",X$4,"Posting Date",X$3),0))</t>
  </si>
  <si>
    <t>=IF(OR(Z$1="hide",$P82=""),0,ROUND(NL("SUM","G/L Entry","Amount","G/L Account No.",$P82,"Fund No.",$F$22,"Global Dimension 2 Code",$F$12,"Global Dimension 1 Code",$H$77,"Company=",$D$6,"Transaction Type",Z$4,"Posting Date",Z$3),0))</t>
  </si>
  <si>
    <t>=IF(OR(AB$1="hide",$P82=""),0,ROUND(NL("SUM","G/L Entry","Amount","G/L Account No.",$P82,"Fund No.",$F$22,"Global Dimension 2 Code",$F$12,"Global Dimension 1 Code",$H$77,"Company=",$D$6,"Transaction Type",AB$4,"Posting Date",AB$3),0))</t>
  </si>
  <si>
    <t>=IF(OR(AD$1="hide",$P82=""),0,ROUND(NL("SUM","G/L Entry","Amount","G/L Account No.",$P82,"Fund No.",$F$22,"Global Dimension 2 Code",$F$12,"Global Dimension 1 Code",$H$77,"Company=",$D$6,"Transaction Type",AD$4,"Posting Date",AD$3),0))</t>
  </si>
  <si>
    <t>=IF(OR(AF$1="hide",$P82=""),0,ROUND(NL("SUM","G/L Entry","Amount","G/L Account No.",$P82,"Fund No.",$F$22,"Global Dimension 2 Code",$F$12,"Global Dimension 1 Code",$H$77,"Company=",$D$6,"Transaction Type",AF$4,"Posting Date",AF$3),0))</t>
  </si>
  <si>
    <t>=IF(OR(AH$1="hide",$P82=""),0,SUM(ROUND(NL("SUM","G/L Entry","Amount","G/L Account No.",$P82,"Fund No.",$F$22,"Global Dimension 2 Code",$F$12,"Global Dimension 1 Code",$H$77,"Company=",$D$6,"Transaction Type",AH$4,"Posting Date",AH$3),0),IF($P82="549001",-$AH$105,IF($P82="549900",-$AH$105,0))))</t>
  </si>
  <si>
    <t>=IF(ISERROR(AH82+AJ82),0,(AH82+AJ82))</t>
  </si>
  <si>
    <t>=IF($F$13="yes",0,IF($P82="",0,ROUND(NL("SUM","G/L Budget Entry","Amount","Fund No.",$F$22,"G/L Account No.",$P82,"Global Dimension 1 Code",$H$77,"Company=",$D$6,"Global Dimension 2 Code",$F$12,"Date",$AN$3),0)))</t>
  </si>
  <si>
    <t>=IF($F$13="YES",AF82,AN82)</t>
  </si>
  <si>
    <t>=ABS(SUMIF(V82:AP82,"&gt;0")-SUMIF(V82:AP82,"&lt;0"))</t>
  </si>
  <si>
    <t>=IF(AQ83=0,"Hide","Show")</t>
  </si>
  <si>
    <t>="531023"</t>
  </si>
  <si>
    <t>=IF(K83="","500000 51699",K83&amp;" "&amp;"51699")</t>
  </si>
  <si>
    <t>=K83</t>
  </si>
  <si>
    <t>=IF($P83="","",(NL("Rows","G/L Account","Name","No.",$P83,"Company=",$D$6)))</t>
  </si>
  <si>
    <t>=IF($P83="",0,ROUND(NL("SUM","G/L Entry","Amount","G/L Account No.",$P83,"Fund No.",$F$22,"Global Dimension 2 Code",$F$12,"Global Dimension 1 Code",$H$77,"Company=",$D$6,"Transaction Type",T$4,"Posting Date",T$3),0))</t>
  </si>
  <si>
    <t>=IF(OR(V$1="hide",$P83=""),0,ROUND(NL("SUM","G/L Entry","Amount","G/L Account No.",$P83,"Fund No.",$F$22,"Global Dimension 2 Code",$F$12,"Global Dimension 1 Code",$H$77,"Company=",$D$6,"Transaction Type",V$4,"Posting Date",V$3),0))</t>
  </si>
  <si>
    <t>=IF(OR(X$1="hide",$P83=""),0,ROUND(NL("SUM","G/L Entry","Amount","G/L Account No.",$P83,"Fund No.",$F$22,"Global Dimension 2 Code",$F$12,"Global Dimension 1 Code",$H$77,"Company=",$D$6,"Transaction Type",X$4,"Posting Date",X$3),0))</t>
  </si>
  <si>
    <t>=IF(OR(Z$1="hide",$P83=""),0,ROUND(NL("SUM","G/L Entry","Amount","G/L Account No.",$P83,"Fund No.",$F$22,"Global Dimension 2 Code",$F$12,"Global Dimension 1 Code",$H$77,"Company=",$D$6,"Transaction Type",Z$4,"Posting Date",Z$3),0))</t>
  </si>
  <si>
    <t>=IF(OR(AB$1="hide",$P83=""),0,ROUND(NL("SUM","G/L Entry","Amount","G/L Account No.",$P83,"Fund No.",$F$22,"Global Dimension 2 Code",$F$12,"Global Dimension 1 Code",$H$77,"Company=",$D$6,"Transaction Type",AB$4,"Posting Date",AB$3),0))</t>
  </si>
  <si>
    <t>=IF(OR(AD$1="hide",$P83=""),0,ROUND(NL("SUM","G/L Entry","Amount","G/L Account No.",$P83,"Fund No.",$F$22,"Global Dimension 2 Code",$F$12,"Global Dimension 1 Code",$H$77,"Company=",$D$6,"Transaction Type",AD$4,"Posting Date",AD$3),0))</t>
  </si>
  <si>
    <t>=IF(OR(AF$1="hide",$P83=""),0,ROUND(NL("SUM","G/L Entry","Amount","G/L Account No.",$P83,"Fund No.",$F$22,"Global Dimension 2 Code",$F$12,"Global Dimension 1 Code",$H$77,"Company=",$D$6,"Transaction Type",AF$4,"Posting Date",AF$3),0))</t>
  </si>
  <si>
    <t>=IF(OR(AH$1="hide",$P83=""),0,SUM(ROUND(NL("SUM","G/L Entry","Amount","G/L Account No.",$P83,"Fund No.",$F$22,"Global Dimension 2 Code",$F$12,"Global Dimension 1 Code",$H$77,"Company=",$D$6,"Transaction Type",AH$4,"Posting Date",AH$3),0),IF($P83="549001",-$AH$105,IF($P83="549900",-$AH$105,0))))</t>
  </si>
  <si>
    <t>=IF(ISERROR(AH83+AJ83),0,(AH83+AJ83))</t>
  </si>
  <si>
    <t>=IF($F$13="yes",0,IF($P83="",0,ROUND(NL("SUM","G/L Budget Entry","Amount","Fund No.",$F$22,"G/L Account No.",$P83,"Global Dimension 1 Code",$H$77,"Company=",$D$6,"Global Dimension 2 Code",$F$12,"Date",$AN$3),0)))</t>
  </si>
  <si>
    <t>=IF($F$13="YES",AF83,AN83)</t>
  </si>
  <si>
    <t>=ABS(SUMIF(V83:AP83,"&gt;0")-SUMIF(V83:AP83,"&lt;0"))</t>
  </si>
  <si>
    <t>="531027"</t>
  </si>
  <si>
    <t>=IF(K84="","500000 51699",K84&amp;" "&amp;"51699")</t>
  </si>
  <si>
    <t>=IF($P84="","",(NL("Rows","G/L Account","Name","No.",$P84,"Company=",$D$6)))</t>
  </si>
  <si>
    <t>=IF($P84="",0,ROUND(NL("SUM","G/L Entry","Amount","G/L Account No.",$P84,"Fund No.",$F$22,"Global Dimension 2 Code",$F$12,"Global Dimension 1 Code",$H$77,"Company=",$D$6,"Transaction Type",T$4,"Posting Date",T$3),0))</t>
  </si>
  <si>
    <t>=IF(OR(V$1="hide",$P84=""),0,ROUND(NL("SUM","G/L Entry","Amount","G/L Account No.",$P84,"Fund No.",$F$22,"Global Dimension 2 Code",$F$12,"Global Dimension 1 Code",$H$77,"Company=",$D$6,"Transaction Type",V$4,"Posting Date",V$3),0))</t>
  </si>
  <si>
    <t>=IF(OR(X$1="hide",$P84=""),0,ROUND(NL("SUM","G/L Entry","Amount","G/L Account No.",$P84,"Fund No.",$F$22,"Global Dimension 2 Code",$F$12,"Global Dimension 1 Code",$H$77,"Company=",$D$6,"Transaction Type",X$4,"Posting Date",X$3),0))</t>
  </si>
  <si>
    <t>=IF(OR(Z$1="hide",$P84=""),0,ROUND(NL("SUM","G/L Entry","Amount","G/L Account No.",$P84,"Fund No.",$F$22,"Global Dimension 2 Code",$F$12,"Global Dimension 1 Code",$H$77,"Company=",$D$6,"Transaction Type",Z$4,"Posting Date",Z$3),0))</t>
  </si>
  <si>
    <t>=IF(OR(AB$1="hide",$P84=""),0,ROUND(NL("SUM","G/L Entry","Amount","G/L Account No.",$P84,"Fund No.",$F$22,"Global Dimension 2 Code",$F$12,"Global Dimension 1 Code",$H$77,"Company=",$D$6,"Transaction Type",AB$4,"Posting Date",AB$3),0))</t>
  </si>
  <si>
    <t>=IF(OR(AD$1="hide",$P84=""),0,ROUND(NL("SUM","G/L Entry","Amount","G/L Account No.",$P84,"Fund No.",$F$22,"Global Dimension 2 Code",$F$12,"Global Dimension 1 Code",$H$77,"Company=",$D$6,"Transaction Type",AD$4,"Posting Date",AD$3),0))</t>
  </si>
  <si>
    <t>=IF(OR(AF$1="hide",$P84=""),0,ROUND(NL("SUM","G/L Entry","Amount","G/L Account No.",$P84,"Fund No.",$F$22,"Global Dimension 2 Code",$F$12,"Global Dimension 1 Code",$H$77,"Company=",$D$6,"Transaction Type",AF$4,"Posting Date",AF$3),0))</t>
  </si>
  <si>
    <t>=IF(OR(AH$1="hide",$P84=""),0,SUM(ROUND(NL("SUM","G/L Entry","Amount","G/L Account No.",$P84,"Fund No.",$F$22,"Global Dimension 2 Code",$F$12,"Global Dimension 1 Code",$H$77,"Company=",$D$6,"Transaction Type",AH$4,"Posting Date",AH$3),0),IF($P84="549001",-$AH$105,IF($P84="549900",-$AH$105,0))))</t>
  </si>
  <si>
    <t>=IF($F$13="yes",0,IF($P84="",0,ROUND(NL("SUM","G/L Budget Entry","Amount","Fund No.",$F$22,"G/L Account No.",$P84,"Global Dimension 1 Code",$H$77,"Company=",$D$6,"Global Dimension 2 Code",$F$12,"Date",$AN$3),0)))</t>
  </si>
  <si>
    <t>=IF(AQ85=0,"Hide","Show")</t>
  </si>
  <si>
    <t>="531035"</t>
  </si>
  <si>
    <t>=IF(K85="","500000 51699",K85&amp;" "&amp;"51699")</t>
  </si>
  <si>
    <t>=K85</t>
  </si>
  <si>
    <t>=IF($P85="","",(NL("Rows","G/L Account","Name","No.",$P85,"Company=",$D$6)))</t>
  </si>
  <si>
    <t>=IF($P85="",0,ROUND(NL("SUM","G/L Entry","Amount","G/L Account No.",$P85,"Fund No.",$F$22,"Global Dimension 2 Code",$F$12,"Global Dimension 1 Code",$H$77,"Company=",$D$6,"Transaction Type",T$4,"Posting Date",T$3),0))</t>
  </si>
  <si>
    <t>=IF(OR(V$1="hide",$P85=""),0,ROUND(NL("SUM","G/L Entry","Amount","G/L Account No.",$P85,"Fund No.",$F$22,"Global Dimension 2 Code",$F$12,"Global Dimension 1 Code",$H$77,"Company=",$D$6,"Transaction Type",V$4,"Posting Date",V$3),0))</t>
  </si>
  <si>
    <t>=IF(OR(X$1="hide",$P85=""),0,ROUND(NL("SUM","G/L Entry","Amount","G/L Account No.",$P85,"Fund No.",$F$22,"Global Dimension 2 Code",$F$12,"Global Dimension 1 Code",$H$77,"Company=",$D$6,"Transaction Type",X$4,"Posting Date",X$3),0))</t>
  </si>
  <si>
    <t>=IF(OR(Z$1="hide",$P85=""),0,ROUND(NL("SUM","G/L Entry","Amount","G/L Account No.",$P85,"Fund No.",$F$22,"Global Dimension 2 Code",$F$12,"Global Dimension 1 Code",$H$77,"Company=",$D$6,"Transaction Type",Z$4,"Posting Date",Z$3),0))</t>
  </si>
  <si>
    <t>=IF(OR(AB$1="hide",$P85=""),0,ROUND(NL("SUM","G/L Entry","Amount","G/L Account No.",$P85,"Fund No.",$F$22,"Global Dimension 2 Code",$F$12,"Global Dimension 1 Code",$H$77,"Company=",$D$6,"Transaction Type",AB$4,"Posting Date",AB$3),0))</t>
  </si>
  <si>
    <t>=IF(OR(AD$1="hide",$P85=""),0,ROUND(NL("SUM","G/L Entry","Amount","G/L Account No.",$P85,"Fund No.",$F$22,"Global Dimension 2 Code",$F$12,"Global Dimension 1 Code",$H$77,"Company=",$D$6,"Transaction Type",AD$4,"Posting Date",AD$3),0))</t>
  </si>
  <si>
    <t>=IF(OR(AF$1="hide",$P85=""),0,ROUND(NL("SUM","G/L Entry","Amount","G/L Account No.",$P85,"Fund No.",$F$22,"Global Dimension 2 Code",$F$12,"Global Dimension 1 Code",$H$77,"Company=",$D$6,"Transaction Type",AF$4,"Posting Date",AF$3),0))</t>
  </si>
  <si>
    <t>=IF(OR(AH$1="hide",$P85=""),0,SUM(ROUND(NL("SUM","G/L Entry","Amount","G/L Account No.",$P85,"Fund No.",$F$22,"Global Dimension 2 Code",$F$12,"Global Dimension 1 Code",$H$77,"Company=",$D$6,"Transaction Type",AH$4,"Posting Date",AH$3),0),IF($P85="549001",-$AH$105,IF($P85="549900",-$AH$105,0))))</t>
  </si>
  <si>
    <t>=IF(ISERROR(AH85+AJ85),0,(AH85+AJ85))</t>
  </si>
  <si>
    <t>=IF($F$13="yes",0,IF($P85="",0,ROUND(NL("SUM","G/L Budget Entry","Amount","Fund No.",$F$22,"G/L Account No.",$P85,"Global Dimension 1 Code",$H$77,"Company=",$D$6,"Global Dimension 2 Code",$F$12,"Date",$AN$3),0)))</t>
  </si>
  <si>
    <t>=IF($F$13="YES",AF85,AN85)</t>
  </si>
  <si>
    <t>=ABS(SUMIF(V85:AP85,"&gt;0")-SUMIF(V85:AP85,"&lt;0"))</t>
  </si>
  <si>
    <t>="531038"</t>
  </si>
  <si>
    <t>=IF(K86="","500000 51699",K86&amp;" "&amp;"51699")</t>
  </si>
  <si>
    <t>=K86</t>
  </si>
  <si>
    <t>=IF($P86="","",(NL("Rows","G/L Account","Name","No.",$P86,"Company=",$D$6)))</t>
  </si>
  <si>
    <t>=IF($P86="",0,ROUND(NL("SUM","G/L Entry","Amount","G/L Account No.",$P86,"Fund No.",$F$22,"Global Dimension 2 Code",$F$12,"Global Dimension 1 Code",$H$77,"Company=",$D$6,"Transaction Type",T$4,"Posting Date",T$3),0))</t>
  </si>
  <si>
    <t>=IF(OR(V$1="hide",$P86=""),0,ROUND(NL("SUM","G/L Entry","Amount","G/L Account No.",$P86,"Fund No.",$F$22,"Global Dimension 2 Code",$F$12,"Global Dimension 1 Code",$H$77,"Company=",$D$6,"Transaction Type",V$4,"Posting Date",V$3),0))</t>
  </si>
  <si>
    <t>=IF(OR(X$1="hide",$P86=""),0,ROUND(NL("SUM","G/L Entry","Amount","G/L Account No.",$P86,"Fund No.",$F$22,"Global Dimension 2 Code",$F$12,"Global Dimension 1 Code",$H$77,"Company=",$D$6,"Transaction Type",X$4,"Posting Date",X$3),0))</t>
  </si>
  <si>
    <t>=IF(OR(Z$1="hide",$P86=""),0,ROUND(NL("SUM","G/L Entry","Amount","G/L Account No.",$P86,"Fund No.",$F$22,"Global Dimension 2 Code",$F$12,"Global Dimension 1 Code",$H$77,"Company=",$D$6,"Transaction Type",Z$4,"Posting Date",Z$3),0))</t>
  </si>
  <si>
    <t>=IF(OR(AB$1="hide",$P86=""),0,ROUND(NL("SUM","G/L Entry","Amount","G/L Account No.",$P86,"Fund No.",$F$22,"Global Dimension 2 Code",$F$12,"Global Dimension 1 Code",$H$77,"Company=",$D$6,"Transaction Type",AB$4,"Posting Date",AB$3),0))</t>
  </si>
  <si>
    <t>=IF(OR(AD$1="hide",$P86=""),0,ROUND(NL("SUM","G/L Entry","Amount","G/L Account No.",$P86,"Fund No.",$F$22,"Global Dimension 2 Code",$F$12,"Global Dimension 1 Code",$H$77,"Company=",$D$6,"Transaction Type",AD$4,"Posting Date",AD$3),0))</t>
  </si>
  <si>
    <t>=IF(OR(AF$1="hide",$P86=""),0,ROUND(NL("SUM","G/L Entry","Amount","G/L Account No.",$P86,"Fund No.",$F$22,"Global Dimension 2 Code",$F$12,"Global Dimension 1 Code",$H$77,"Company=",$D$6,"Transaction Type",AF$4,"Posting Date",AF$3),0))</t>
  </si>
  <si>
    <t>=IF(OR(AH$1="hide",$P86=""),0,SUM(ROUND(NL("SUM","G/L Entry","Amount","G/L Account No.",$P86,"Fund No.",$F$22,"Global Dimension 2 Code",$F$12,"Global Dimension 1 Code",$H$77,"Company=",$D$6,"Transaction Type",AH$4,"Posting Date",AH$3),0),IF($P86="549001",-$AH$105,IF($P86="549900",-$AH$105,0))))</t>
  </si>
  <si>
    <t>=IF(ISERROR(AH86+AJ86),0,(AH86+AJ86))</t>
  </si>
  <si>
    <t>=IF($F$13="yes",0,IF($P86="",0,ROUND(NL("SUM","G/L Budget Entry","Amount","Fund No.",$F$22,"G/L Account No.",$P86,"Global Dimension 1 Code",$H$77,"Company=",$D$6,"Global Dimension 2 Code",$F$12,"Date",$AN$3),0)))</t>
  </si>
  <si>
    <t>=IF($F$13="YES",AF86,AN86)</t>
  </si>
  <si>
    <t>=IF(AQ87=0,"Hide","Show")</t>
  </si>
  <si>
    <t>="531045"</t>
  </si>
  <si>
    <t>=IF(K87="","500000 51699",K87&amp;" "&amp;"51699")</t>
  </si>
  <si>
    <t>=K87</t>
  </si>
  <si>
    <t>=IF($P87="","",(NL("Rows","G/L Account","Name","No.",$P87,"Company=",$D$6)))</t>
  </si>
  <si>
    <t>=IF($P87="",0,ROUND(NL("SUM","G/L Entry","Amount","G/L Account No.",$P87,"Fund No.",$F$22,"Global Dimension 2 Code",$F$12,"Global Dimension 1 Code",$H$77,"Company=",$D$6,"Transaction Type",T$4,"Posting Date",T$3),0))</t>
  </si>
  <si>
    <t>=IF(OR(V$1="hide",$P87=""),0,ROUND(NL("SUM","G/L Entry","Amount","G/L Account No.",$P87,"Fund No.",$F$22,"Global Dimension 2 Code",$F$12,"Global Dimension 1 Code",$H$77,"Company=",$D$6,"Transaction Type",V$4,"Posting Date",V$3),0))</t>
  </si>
  <si>
    <t>=IF(OR(X$1="hide",$P87=""),0,ROUND(NL("SUM","G/L Entry","Amount","G/L Account No.",$P87,"Fund No.",$F$22,"Global Dimension 2 Code",$F$12,"Global Dimension 1 Code",$H$77,"Company=",$D$6,"Transaction Type",X$4,"Posting Date",X$3),0))</t>
  </si>
  <si>
    <t>=IF(OR(Z$1="hide",$P87=""),0,ROUND(NL("SUM","G/L Entry","Amount","G/L Account No.",$P87,"Fund No.",$F$22,"Global Dimension 2 Code",$F$12,"Global Dimension 1 Code",$H$77,"Company=",$D$6,"Transaction Type",Z$4,"Posting Date",Z$3),0))</t>
  </si>
  <si>
    <t>=IF(OR(AB$1="hide",$P87=""),0,ROUND(NL("SUM","G/L Entry","Amount","G/L Account No.",$P87,"Fund No.",$F$22,"Global Dimension 2 Code",$F$12,"Global Dimension 1 Code",$H$77,"Company=",$D$6,"Transaction Type",AB$4,"Posting Date",AB$3),0))</t>
  </si>
  <si>
    <t>=IF(OR(AD$1="hide",$P87=""),0,ROUND(NL("SUM","G/L Entry","Amount","G/L Account No.",$P87,"Fund No.",$F$22,"Global Dimension 2 Code",$F$12,"Global Dimension 1 Code",$H$77,"Company=",$D$6,"Transaction Type",AD$4,"Posting Date",AD$3),0))</t>
  </si>
  <si>
    <t>=IF(OR(AF$1="hide",$P87=""),0,ROUND(NL("SUM","G/L Entry","Amount","G/L Account No.",$P87,"Fund No.",$F$22,"Global Dimension 2 Code",$F$12,"Global Dimension 1 Code",$H$77,"Company=",$D$6,"Transaction Type",AF$4,"Posting Date",AF$3),0))</t>
  </si>
  <si>
    <t>=IF(OR(AH$1="hide",$P87=""),0,SUM(ROUND(NL("SUM","G/L Entry","Amount","G/L Account No.",$P87,"Fund No.",$F$22,"Global Dimension 2 Code",$F$12,"Global Dimension 1 Code",$H$77,"Company=",$D$6,"Transaction Type",AH$4,"Posting Date",AH$3),0),IF($P87="549001",-$AH$105,IF($P87="549900",-$AH$105,0))))</t>
  </si>
  <si>
    <t>=IF(ISERROR(AH87+AJ87),0,(AH87+AJ87))</t>
  </si>
  <si>
    <t>=IF($F$13="yes",0,IF($P87="",0,ROUND(NL("SUM","G/L Budget Entry","Amount","Fund No.",$F$22,"G/L Account No.",$P87,"Global Dimension 1 Code",$H$77,"Company=",$D$6,"Global Dimension 2 Code",$F$12,"Date",$AN$3),0)))</t>
  </si>
  <si>
    <t>=IF($F$13="YES",AF87,AN87)</t>
  </si>
  <si>
    <t>=ABS(SUMIF(V87:AP87,"&gt;0")-SUMIF(V87:AP87,"&lt;0"))</t>
  </si>
  <si>
    <t>="532002"</t>
  </si>
  <si>
    <t>=IF(K88="","500000 51699",K88&amp;" "&amp;"51699")</t>
  </si>
  <si>
    <t>=K88</t>
  </si>
  <si>
    <t>=IF($P88="","",(NL("Rows","G/L Account","Name","No.",$P88,"Company=",$D$6)))</t>
  </si>
  <si>
    <t>=IF($P88="",0,ROUND(NL("SUM","G/L Entry","Amount","G/L Account No.",$P88,"Fund No.",$F$22,"Global Dimension 2 Code",$F$12,"Global Dimension 1 Code",$H$77,"Company=",$D$6,"Transaction Type",T$4,"Posting Date",T$3),0))</t>
  </si>
  <si>
    <t>=IF(OR(V$1="hide",$P88=""),0,ROUND(NL("SUM","G/L Entry","Amount","G/L Account No.",$P88,"Fund No.",$F$22,"Global Dimension 2 Code",$F$12,"Global Dimension 1 Code",$H$77,"Company=",$D$6,"Transaction Type",V$4,"Posting Date",V$3),0))</t>
  </si>
  <si>
    <t>=IF(OR(X$1="hide",$P88=""),0,ROUND(NL("SUM","G/L Entry","Amount","G/L Account No.",$P88,"Fund No.",$F$22,"Global Dimension 2 Code",$F$12,"Global Dimension 1 Code",$H$77,"Company=",$D$6,"Transaction Type",X$4,"Posting Date",X$3),0))</t>
  </si>
  <si>
    <t>=IF(OR(Z$1="hide",$P88=""),0,ROUND(NL("SUM","G/L Entry","Amount","G/L Account No.",$P88,"Fund No.",$F$22,"Global Dimension 2 Code",$F$12,"Global Dimension 1 Code",$H$77,"Company=",$D$6,"Transaction Type",Z$4,"Posting Date",Z$3),0))</t>
  </si>
  <si>
    <t>=IF(OR(AB$1="hide",$P88=""),0,ROUND(NL("SUM","G/L Entry","Amount","G/L Account No.",$P88,"Fund No.",$F$22,"Global Dimension 2 Code",$F$12,"Global Dimension 1 Code",$H$77,"Company=",$D$6,"Transaction Type",AB$4,"Posting Date",AB$3),0))</t>
  </si>
  <si>
    <t>=IF(OR(AD$1="hide",$P88=""),0,ROUND(NL("SUM","G/L Entry","Amount","G/L Account No.",$P88,"Fund No.",$F$22,"Global Dimension 2 Code",$F$12,"Global Dimension 1 Code",$H$77,"Company=",$D$6,"Transaction Type",AD$4,"Posting Date",AD$3),0))</t>
  </si>
  <si>
    <t>=IF(OR(AF$1="hide",$P88=""),0,ROUND(NL("SUM","G/L Entry","Amount","G/L Account No.",$P88,"Fund No.",$F$22,"Global Dimension 2 Code",$F$12,"Global Dimension 1 Code",$H$77,"Company=",$D$6,"Transaction Type",AF$4,"Posting Date",AF$3),0))</t>
  </si>
  <si>
    <t>=IF(OR(AH$1="hide",$P88=""),0,SUM(ROUND(NL("SUM","G/L Entry","Amount","G/L Account No.",$P88,"Fund No.",$F$22,"Global Dimension 2 Code",$F$12,"Global Dimension 1 Code",$H$77,"Company=",$D$6,"Transaction Type",AH$4,"Posting Date",AH$3),0),IF($P88="549001",-$AH$105,IF($P88="549900",-$AH$105,0))))</t>
  </si>
  <si>
    <t>=IF(ISERROR(AH88+AJ88),0,(AH88+AJ88))</t>
  </si>
  <si>
    <t>=IF($F$13="yes",0,IF($P88="",0,ROUND(NL("SUM","G/L Budget Entry","Amount","Fund No.",$F$22,"G/L Account No.",$P88,"Global Dimension 1 Code",$H$77,"Company=",$D$6,"Global Dimension 2 Code",$F$12,"Date",$AN$3),0)))</t>
  </si>
  <si>
    <t>=IF($F$13="YES",AF88,AN88)</t>
  </si>
  <si>
    <t>=IF(AQ89=0,"Hide","Show")</t>
  </si>
  <si>
    <t>="541003"</t>
  </si>
  <si>
    <t>=IF(K89="","500000 51699",K89&amp;" "&amp;"51699")</t>
  </si>
  <si>
    <t>=K89</t>
  </si>
  <si>
    <t>=IF($P89="","",(NL("Rows","G/L Account","Name","No.",$P89,"Company=",$D$6)))</t>
  </si>
  <si>
    <t>=IF($P89="",0,ROUND(NL("SUM","G/L Entry","Amount","G/L Account No.",$P89,"Fund No.",$F$22,"Global Dimension 2 Code",$F$12,"Global Dimension 1 Code",$H$77,"Company=",$D$6,"Transaction Type",T$4,"Posting Date",T$3),0))</t>
  </si>
  <si>
    <t>=IF(OR(V$1="hide",$P89=""),0,ROUND(NL("SUM","G/L Entry","Amount","G/L Account No.",$P89,"Fund No.",$F$22,"Global Dimension 2 Code",$F$12,"Global Dimension 1 Code",$H$77,"Company=",$D$6,"Transaction Type",V$4,"Posting Date",V$3),0))</t>
  </si>
  <si>
    <t>=IF(OR(X$1="hide",$P89=""),0,ROUND(NL("SUM","G/L Entry","Amount","G/L Account No.",$P89,"Fund No.",$F$22,"Global Dimension 2 Code",$F$12,"Global Dimension 1 Code",$H$77,"Company=",$D$6,"Transaction Type",X$4,"Posting Date",X$3),0))</t>
  </si>
  <si>
    <t>=IF(OR(Z$1="hide",$P89=""),0,ROUND(NL("SUM","G/L Entry","Amount","G/L Account No.",$P89,"Fund No.",$F$22,"Global Dimension 2 Code",$F$12,"Global Dimension 1 Code",$H$77,"Company=",$D$6,"Transaction Type",Z$4,"Posting Date",Z$3),0))</t>
  </si>
  <si>
    <t>=IF(OR(AB$1="hide",$P89=""),0,ROUND(NL("SUM","G/L Entry","Amount","G/L Account No.",$P89,"Fund No.",$F$22,"Global Dimension 2 Code",$F$12,"Global Dimension 1 Code",$H$77,"Company=",$D$6,"Transaction Type",AB$4,"Posting Date",AB$3),0))</t>
  </si>
  <si>
    <t>=IF(OR(AD$1="hide",$P89=""),0,ROUND(NL("SUM","G/L Entry","Amount","G/L Account No.",$P89,"Fund No.",$F$22,"Global Dimension 2 Code",$F$12,"Global Dimension 1 Code",$H$77,"Company=",$D$6,"Transaction Type",AD$4,"Posting Date",AD$3),0))</t>
  </si>
  <si>
    <t>=IF(OR(AF$1="hide",$P89=""),0,ROUND(NL("SUM","G/L Entry","Amount","G/L Account No.",$P89,"Fund No.",$F$22,"Global Dimension 2 Code",$F$12,"Global Dimension 1 Code",$H$77,"Company=",$D$6,"Transaction Type",AF$4,"Posting Date",AF$3),0))</t>
  </si>
  <si>
    <t>=IF(OR(AH$1="hide",$P89=""),0,SUM(ROUND(NL("SUM","G/L Entry","Amount","G/L Account No.",$P89,"Fund No.",$F$22,"Global Dimension 2 Code",$F$12,"Global Dimension 1 Code",$H$77,"Company=",$D$6,"Transaction Type",AH$4,"Posting Date",AH$3),0),IF($P89="549001",-$AH$105,IF($P89="549900",-$AH$105,0))))</t>
  </si>
  <si>
    <t>=IF(ISERROR(AH89+AJ89),0,(AH89+AJ89))</t>
  </si>
  <si>
    <t>=IF($F$13="yes",0,IF($P89="",0,ROUND(NL("SUM","G/L Budget Entry","Amount","Fund No.",$F$22,"G/L Account No.",$P89,"Global Dimension 1 Code",$H$77,"Company=",$D$6,"Global Dimension 2 Code",$F$12,"Date",$AN$3),0)))</t>
  </si>
  <si>
    <t>=IF($F$13="YES",AF89,AN89)</t>
  </si>
  <si>
    <t>=ABS(SUMIF(V89:AP89,"&gt;0")-SUMIF(V89:AP89,"&lt;0"))</t>
  </si>
  <si>
    <t>=IF(AQ90=0,"Hide","Show")</t>
  </si>
  <si>
    <t>="541006"</t>
  </si>
  <si>
    <t>=IF(K90="","500000 51699",K90&amp;" "&amp;"51699")</t>
  </si>
  <si>
    <t>=K90</t>
  </si>
  <si>
    <t>=IF($P90="","",(NL("Rows","G/L Account","Name","No.",$P90,"Company=",$D$6)))</t>
  </si>
  <si>
    <t>=IF($P90="",0,ROUND(NL("SUM","G/L Entry","Amount","G/L Account No.",$P90,"Fund No.",$F$22,"Global Dimension 2 Code",$F$12,"Global Dimension 1 Code",$H$77,"Company=",$D$6,"Transaction Type",T$4,"Posting Date",T$3),0))</t>
  </si>
  <si>
    <t>=IF(OR(V$1="hide",$P90=""),0,ROUND(NL("SUM","G/L Entry","Amount","G/L Account No.",$P90,"Fund No.",$F$22,"Global Dimension 2 Code",$F$12,"Global Dimension 1 Code",$H$77,"Company=",$D$6,"Transaction Type",V$4,"Posting Date",V$3),0))</t>
  </si>
  <si>
    <t>=IF(OR(X$1="hide",$P90=""),0,ROUND(NL("SUM","G/L Entry","Amount","G/L Account No.",$P90,"Fund No.",$F$22,"Global Dimension 2 Code",$F$12,"Global Dimension 1 Code",$H$77,"Company=",$D$6,"Transaction Type",X$4,"Posting Date",X$3),0))</t>
  </si>
  <si>
    <t>=IF(OR(Z$1="hide",$P90=""),0,ROUND(NL("SUM","G/L Entry","Amount","G/L Account No.",$P90,"Fund No.",$F$22,"Global Dimension 2 Code",$F$12,"Global Dimension 1 Code",$H$77,"Company=",$D$6,"Transaction Type",Z$4,"Posting Date",Z$3),0))</t>
  </si>
  <si>
    <t>=IF(OR(AB$1="hide",$P90=""),0,ROUND(NL("SUM","G/L Entry","Amount","G/L Account No.",$P90,"Fund No.",$F$22,"Global Dimension 2 Code",$F$12,"Global Dimension 1 Code",$H$77,"Company=",$D$6,"Transaction Type",AB$4,"Posting Date",AB$3),0))</t>
  </si>
  <si>
    <t>=IF(OR(AD$1="hide",$P90=""),0,ROUND(NL("SUM","G/L Entry","Amount","G/L Account No.",$P90,"Fund No.",$F$22,"Global Dimension 2 Code",$F$12,"Global Dimension 1 Code",$H$77,"Company=",$D$6,"Transaction Type",AD$4,"Posting Date",AD$3),0))</t>
  </si>
  <si>
    <t>=IF(OR(AF$1="hide",$P90=""),0,ROUND(NL("SUM","G/L Entry","Amount","G/L Account No.",$P90,"Fund No.",$F$22,"Global Dimension 2 Code",$F$12,"Global Dimension 1 Code",$H$77,"Company=",$D$6,"Transaction Type",AF$4,"Posting Date",AF$3),0))</t>
  </si>
  <si>
    <t>=IF(OR(AH$1="hide",$P90=""),0,SUM(ROUND(NL("SUM","G/L Entry","Amount","G/L Account No.",$P90,"Fund No.",$F$22,"Global Dimension 2 Code",$F$12,"Global Dimension 1 Code",$H$77,"Company=",$D$6,"Transaction Type",AH$4,"Posting Date",AH$3),0),IF($P90="549001",-$AH$105,IF($P90="549900",-$AH$105,0))))</t>
  </si>
  <si>
    <t>=IF(ISERROR(AH90+AJ90),0,(AH90+AJ90))</t>
  </si>
  <si>
    <t>=IF($F$13="yes",0,IF($P90="",0,ROUND(NL("SUM","G/L Budget Entry","Amount","Fund No.",$F$22,"G/L Account No.",$P90,"Global Dimension 1 Code",$H$77,"Company=",$D$6,"Global Dimension 2 Code",$F$12,"Date",$AN$3),0)))</t>
  </si>
  <si>
    <t>=IF($F$13="YES",AF90,AN90)</t>
  </si>
  <si>
    <t>=ABS(SUMIF(V90:AP90,"&gt;0")-SUMIF(V90:AP90,"&lt;0"))</t>
  </si>
  <si>
    <t>="544004"</t>
  </si>
  <si>
    <t>=IF(K91="","500000 51699",K91&amp;" "&amp;"51699")</t>
  </si>
  <si>
    <t>=IF($P91="","",(NL("Rows","G/L Account","Name","No.",$P91,"Company=",$D$6)))</t>
  </si>
  <si>
    <t>=IF($P91="",0,ROUND(NL("SUM","G/L Entry","Amount","G/L Account No.",$P91,"Fund No.",$F$22,"Global Dimension 2 Code",$F$12,"Global Dimension 1 Code",$H$77,"Company=",$D$6,"Transaction Type",T$4,"Posting Date",T$3),0))</t>
  </si>
  <si>
    <t>=IF(OR(V$1="hide",$P91=""),0,ROUND(NL("SUM","G/L Entry","Amount","G/L Account No.",$P91,"Fund No.",$F$22,"Global Dimension 2 Code",$F$12,"Global Dimension 1 Code",$H$77,"Company=",$D$6,"Transaction Type",V$4,"Posting Date",V$3),0))</t>
  </si>
  <si>
    <t>=IF(OR(X$1="hide",$P91=""),0,ROUND(NL("SUM","G/L Entry","Amount","G/L Account No.",$P91,"Fund No.",$F$22,"Global Dimension 2 Code",$F$12,"Global Dimension 1 Code",$H$77,"Company=",$D$6,"Transaction Type",X$4,"Posting Date",X$3),0))</t>
  </si>
  <si>
    <t>=IF(OR(Z$1="hide",$P91=""),0,ROUND(NL("SUM","G/L Entry","Amount","G/L Account No.",$P91,"Fund No.",$F$22,"Global Dimension 2 Code",$F$12,"Global Dimension 1 Code",$H$77,"Company=",$D$6,"Transaction Type",Z$4,"Posting Date",Z$3),0))</t>
  </si>
  <si>
    <t>=IF(OR(AB$1="hide",$P91=""),0,ROUND(NL("SUM","G/L Entry","Amount","G/L Account No.",$P91,"Fund No.",$F$22,"Global Dimension 2 Code",$F$12,"Global Dimension 1 Code",$H$77,"Company=",$D$6,"Transaction Type",AB$4,"Posting Date",AB$3),0))</t>
  </si>
  <si>
    <t>=IF(OR(AD$1="hide",$P91=""),0,ROUND(NL("SUM","G/L Entry","Amount","G/L Account No.",$P91,"Fund No.",$F$22,"Global Dimension 2 Code",$F$12,"Global Dimension 1 Code",$H$77,"Company=",$D$6,"Transaction Type",AD$4,"Posting Date",AD$3),0))</t>
  </si>
  <si>
    <t>=IF(OR(AF$1="hide",$P91=""),0,ROUND(NL("SUM","G/L Entry","Amount","G/L Account No.",$P91,"Fund No.",$F$22,"Global Dimension 2 Code",$F$12,"Global Dimension 1 Code",$H$77,"Company=",$D$6,"Transaction Type",AF$4,"Posting Date",AF$3),0))</t>
  </si>
  <si>
    <t>=IF(OR(AH$1="hide",$P91=""),0,SUM(ROUND(NL("SUM","G/L Entry","Amount","G/L Account No.",$P91,"Fund No.",$F$22,"Global Dimension 2 Code",$F$12,"Global Dimension 1 Code",$H$77,"Company=",$D$6,"Transaction Type",AH$4,"Posting Date",AH$3),0),IF($P91="549001",-$AH$105,IF($P91="549900",-$AH$105,0))))</t>
  </si>
  <si>
    <t>=IF($F$13="yes",0,IF($P91="",0,ROUND(NL("SUM","G/L Budget Entry","Amount","Fund No.",$F$22,"G/L Account No.",$P91,"Global Dimension 1 Code",$H$77,"Company=",$D$6,"Global Dimension 2 Code",$F$12,"Date",$AN$3),0)))</t>
  </si>
  <si>
    <t>=IF(AQ92=0,"Hide","Show")</t>
  </si>
  <si>
    <t>="545002"</t>
  </si>
  <si>
    <t>=IF(K92="","500000 51699",K92&amp;" "&amp;"51699")</t>
  </si>
  <si>
    <t>=K92</t>
  </si>
  <si>
    <t>=IF($P92="","",(NL("Rows","G/L Account","Name","No.",$P92,"Company=",$D$6)))</t>
  </si>
  <si>
    <t>=IF($P92="",0,ROUND(NL("SUM","G/L Entry","Amount","G/L Account No.",$P92,"Fund No.",$F$22,"Global Dimension 2 Code",$F$12,"Global Dimension 1 Code",$H$77,"Company=",$D$6,"Transaction Type",T$4,"Posting Date",T$3),0))</t>
  </si>
  <si>
    <t>=IF(OR(V$1="hide",$P92=""),0,ROUND(NL("SUM","G/L Entry","Amount","G/L Account No.",$P92,"Fund No.",$F$22,"Global Dimension 2 Code",$F$12,"Global Dimension 1 Code",$H$77,"Company=",$D$6,"Transaction Type",V$4,"Posting Date",V$3),0))</t>
  </si>
  <si>
    <t>=IF(OR(X$1="hide",$P92=""),0,ROUND(NL("SUM","G/L Entry","Amount","G/L Account No.",$P92,"Fund No.",$F$22,"Global Dimension 2 Code",$F$12,"Global Dimension 1 Code",$H$77,"Company=",$D$6,"Transaction Type",X$4,"Posting Date",X$3),0))</t>
  </si>
  <si>
    <t>=IF(OR(Z$1="hide",$P92=""),0,ROUND(NL("SUM","G/L Entry","Amount","G/L Account No.",$P92,"Fund No.",$F$22,"Global Dimension 2 Code",$F$12,"Global Dimension 1 Code",$H$77,"Company=",$D$6,"Transaction Type",Z$4,"Posting Date",Z$3),0))</t>
  </si>
  <si>
    <t>=IF(OR(AB$1="hide",$P92=""),0,ROUND(NL("SUM","G/L Entry","Amount","G/L Account No.",$P92,"Fund No.",$F$22,"Global Dimension 2 Code",$F$12,"Global Dimension 1 Code",$H$77,"Company=",$D$6,"Transaction Type",AB$4,"Posting Date",AB$3),0))</t>
  </si>
  <si>
    <t>=IF(OR(AD$1="hide",$P92=""),0,ROUND(NL("SUM","G/L Entry","Amount","G/L Account No.",$P92,"Fund No.",$F$22,"Global Dimension 2 Code",$F$12,"Global Dimension 1 Code",$H$77,"Company=",$D$6,"Transaction Type",AD$4,"Posting Date",AD$3),0))</t>
  </si>
  <si>
    <t>=IF(OR(AF$1="hide",$P92=""),0,ROUND(NL("SUM","G/L Entry","Amount","G/L Account No.",$P92,"Fund No.",$F$22,"Global Dimension 2 Code",$F$12,"Global Dimension 1 Code",$H$77,"Company=",$D$6,"Transaction Type",AF$4,"Posting Date",AF$3),0))</t>
  </si>
  <si>
    <t>=IF(OR(AH$1="hide",$P92=""),0,SUM(ROUND(NL("SUM","G/L Entry","Amount","G/L Account No.",$P92,"Fund No.",$F$22,"Global Dimension 2 Code",$F$12,"Global Dimension 1 Code",$H$77,"Company=",$D$6,"Transaction Type",AH$4,"Posting Date",AH$3),0),IF($P92="549001",-$AH$105,IF($P92="549900",-$AH$105,0))))</t>
  </si>
  <si>
    <t>=IF(ISERROR(AH92+AJ92),0,(AH92+AJ92))</t>
  </si>
  <si>
    <t>=IF($F$13="yes",0,IF($P92="",0,ROUND(NL("SUM","G/L Budget Entry","Amount","Fund No.",$F$22,"G/L Account No.",$P92,"Global Dimension 1 Code",$H$77,"Company=",$D$6,"Global Dimension 2 Code",$F$12,"Date",$AN$3),0)))</t>
  </si>
  <si>
    <t>=IF($F$13="YES",AF92,AN92)</t>
  </si>
  <si>
    <t>=ABS(SUMIF(V92:AP92,"&gt;0")-SUMIF(V92:AP92,"&lt;0"))</t>
  </si>
  <si>
    <t>="547001"</t>
  </si>
  <si>
    <t>=IF(K93="","500000 51699",K93&amp;" "&amp;"51699")</t>
  </si>
  <si>
    <t>=K93</t>
  </si>
  <si>
    <t>=IF($P93="","",(NL("Rows","G/L Account","Name","No.",$P93,"Company=",$D$6)))</t>
  </si>
  <si>
    <t>=IF($P93="",0,ROUND(NL("SUM","G/L Entry","Amount","G/L Account No.",$P93,"Fund No.",$F$22,"Global Dimension 2 Code",$F$12,"Global Dimension 1 Code",$H$77,"Company=",$D$6,"Transaction Type",T$4,"Posting Date",T$3),0))</t>
  </si>
  <si>
    <t>=IF(OR(V$1="hide",$P93=""),0,ROUND(NL("SUM","G/L Entry","Amount","G/L Account No.",$P93,"Fund No.",$F$22,"Global Dimension 2 Code",$F$12,"Global Dimension 1 Code",$H$77,"Company=",$D$6,"Transaction Type",V$4,"Posting Date",V$3),0))</t>
  </si>
  <si>
    <t>=IF(OR(X$1="hide",$P93=""),0,ROUND(NL("SUM","G/L Entry","Amount","G/L Account No.",$P93,"Fund No.",$F$22,"Global Dimension 2 Code",$F$12,"Global Dimension 1 Code",$H$77,"Company=",$D$6,"Transaction Type",X$4,"Posting Date",X$3),0))</t>
  </si>
  <si>
    <t>=IF(OR(Z$1="hide",$P93=""),0,ROUND(NL("SUM","G/L Entry","Amount","G/L Account No.",$P93,"Fund No.",$F$22,"Global Dimension 2 Code",$F$12,"Global Dimension 1 Code",$H$77,"Company=",$D$6,"Transaction Type",Z$4,"Posting Date",Z$3),0))</t>
  </si>
  <si>
    <t>=IF(OR(AB$1="hide",$P93=""),0,ROUND(NL("SUM","G/L Entry","Amount","G/L Account No.",$P93,"Fund No.",$F$22,"Global Dimension 2 Code",$F$12,"Global Dimension 1 Code",$H$77,"Company=",$D$6,"Transaction Type",AB$4,"Posting Date",AB$3),0))</t>
  </si>
  <si>
    <t>=IF(OR(AD$1="hide",$P93=""),0,ROUND(NL("SUM","G/L Entry","Amount","G/L Account No.",$P93,"Fund No.",$F$22,"Global Dimension 2 Code",$F$12,"Global Dimension 1 Code",$H$77,"Company=",$D$6,"Transaction Type",AD$4,"Posting Date",AD$3),0))</t>
  </si>
  <si>
    <t>=IF(OR(AF$1="hide",$P93=""),0,ROUND(NL("SUM","G/L Entry","Amount","G/L Account No.",$P93,"Fund No.",$F$22,"Global Dimension 2 Code",$F$12,"Global Dimension 1 Code",$H$77,"Company=",$D$6,"Transaction Type",AF$4,"Posting Date",AF$3),0))</t>
  </si>
  <si>
    <t>=IF(OR(AH$1="hide",$P93=""),0,SUM(ROUND(NL("SUM","G/L Entry","Amount","G/L Account No.",$P93,"Fund No.",$F$22,"Global Dimension 2 Code",$F$12,"Global Dimension 1 Code",$H$77,"Company=",$D$6,"Transaction Type",AH$4,"Posting Date",AH$3),0),IF($P93="549001",-$AH$105,IF($P93="549900",-$AH$105,0))))</t>
  </si>
  <si>
    <t>=IF(ISERROR(AH93+AJ93),0,(AH93+AJ93))</t>
  </si>
  <si>
    <t>=IF($F$13="yes",0,IF($P93="",0,ROUND(NL("SUM","G/L Budget Entry","Amount","Fund No.",$F$22,"G/L Account No.",$P93,"Global Dimension 1 Code",$H$77,"Company=",$D$6,"Global Dimension 2 Code",$F$12,"Date",$AN$3),0)))</t>
  </si>
  <si>
    <t>=IF($F$13="YES",AF93,AN93)</t>
  </si>
  <si>
    <t>=IF(AQ94=0,"Hide","Show")</t>
  </si>
  <si>
    <t>="548002"</t>
  </si>
  <si>
    <t>=IF(K94="","500000 51699",K94&amp;" "&amp;"51699")</t>
  </si>
  <si>
    <t>=K94</t>
  </si>
  <si>
    <t>=IF($P94="","",(NL("Rows","G/L Account","Name","No.",$P94,"Company=",$D$6)))</t>
  </si>
  <si>
    <t>=IF($P94="",0,ROUND(NL("SUM","G/L Entry","Amount","G/L Account No.",$P94,"Fund No.",$F$22,"Global Dimension 2 Code",$F$12,"Global Dimension 1 Code",$H$77,"Company=",$D$6,"Transaction Type",T$4,"Posting Date",T$3),0))</t>
  </si>
  <si>
    <t>=IF(OR(V$1="hide",$P94=""),0,ROUND(NL("SUM","G/L Entry","Amount","G/L Account No.",$P94,"Fund No.",$F$22,"Global Dimension 2 Code",$F$12,"Global Dimension 1 Code",$H$77,"Company=",$D$6,"Transaction Type",V$4,"Posting Date",V$3),0))</t>
  </si>
  <si>
    <t>=IF(OR(X$1="hide",$P94=""),0,ROUND(NL("SUM","G/L Entry","Amount","G/L Account No.",$P94,"Fund No.",$F$22,"Global Dimension 2 Code",$F$12,"Global Dimension 1 Code",$H$77,"Company=",$D$6,"Transaction Type",X$4,"Posting Date",X$3),0))</t>
  </si>
  <si>
    <t>=IF(OR(Z$1="hide",$P94=""),0,ROUND(NL("SUM","G/L Entry","Amount","G/L Account No.",$P94,"Fund No.",$F$22,"Global Dimension 2 Code",$F$12,"Global Dimension 1 Code",$H$77,"Company=",$D$6,"Transaction Type",Z$4,"Posting Date",Z$3),0))</t>
  </si>
  <si>
    <t>=IF(OR(AB$1="hide",$P94=""),0,ROUND(NL("SUM","G/L Entry","Amount","G/L Account No.",$P94,"Fund No.",$F$22,"Global Dimension 2 Code",$F$12,"Global Dimension 1 Code",$H$77,"Company=",$D$6,"Transaction Type",AB$4,"Posting Date",AB$3),0))</t>
  </si>
  <si>
    <t>=IF(OR(AD$1="hide",$P94=""),0,ROUND(NL("SUM","G/L Entry","Amount","G/L Account No.",$P94,"Fund No.",$F$22,"Global Dimension 2 Code",$F$12,"Global Dimension 1 Code",$H$77,"Company=",$D$6,"Transaction Type",AD$4,"Posting Date",AD$3),0))</t>
  </si>
  <si>
    <t>=IF(OR(AF$1="hide",$P94=""),0,ROUND(NL("SUM","G/L Entry","Amount","G/L Account No.",$P94,"Fund No.",$F$22,"Global Dimension 2 Code",$F$12,"Global Dimension 1 Code",$H$77,"Company=",$D$6,"Transaction Type",AF$4,"Posting Date",AF$3),0))</t>
  </si>
  <si>
    <t>=IF(OR(AH$1="hide",$P94=""),0,SUM(ROUND(NL("SUM","G/L Entry","Amount","G/L Account No.",$P94,"Fund No.",$F$22,"Global Dimension 2 Code",$F$12,"Global Dimension 1 Code",$H$77,"Company=",$D$6,"Transaction Type",AH$4,"Posting Date",AH$3),0),IF($P94="549001",-$AH$105,IF($P94="549900",-$AH$105,0))))</t>
  </si>
  <si>
    <t>=IF(ISERROR(AH94+AJ94),0,(AH94+AJ94))</t>
  </si>
  <si>
    <t>=IF($F$13="yes",0,IF($P94="",0,ROUND(NL("SUM","G/L Budget Entry","Amount","Fund No.",$F$22,"G/L Account No.",$P94,"Global Dimension 1 Code",$H$77,"Company=",$D$6,"Global Dimension 2 Code",$F$12,"Date",$AN$3),0)))</t>
  </si>
  <si>
    <t>=IF($F$13="YES",AF94,AN94)</t>
  </si>
  <si>
    <t>=ABS(SUMIF(V94:AP94,"&gt;0")-SUMIF(V94:AP94,"&lt;0"))</t>
  </si>
  <si>
    <t>=IF(AQ95=0,"Hide","Show")</t>
  </si>
  <si>
    <t>="549001"</t>
  </si>
  <si>
    <t>=IF(K95="","500000 51699",K95&amp;" "&amp;"51699")</t>
  </si>
  <si>
    <t>=K95</t>
  </si>
  <si>
    <t>=IF($P95="","",(NL("Rows","G/L Account","Name","No.",$P95,"Company=",$D$6)))</t>
  </si>
  <si>
    <t>=IF($P95="",0,ROUND(NL("SUM","G/L Entry","Amount","G/L Account No.",$P95,"Fund No.",$F$22,"Global Dimension 2 Code",$F$12,"Global Dimension 1 Code",$H$77,"Company=",$D$6,"Transaction Type",T$4,"Posting Date",T$3),0))</t>
  </si>
  <si>
    <t>=IF(OR(V$1="hide",$P95=""),0,ROUND(NL("SUM","G/L Entry","Amount","G/L Account No.",$P95,"Fund No.",$F$22,"Global Dimension 2 Code",$F$12,"Global Dimension 1 Code",$H$77,"Company=",$D$6,"Transaction Type",V$4,"Posting Date",V$3),0))</t>
  </si>
  <si>
    <t>=IF(OR(X$1="hide",$P95=""),0,ROUND(NL("SUM","G/L Entry","Amount","G/L Account No.",$P95,"Fund No.",$F$22,"Global Dimension 2 Code",$F$12,"Global Dimension 1 Code",$H$77,"Company=",$D$6,"Transaction Type",X$4,"Posting Date",X$3),0))</t>
  </si>
  <si>
    <t>=IF(OR(Z$1="hide",$P95=""),0,ROUND(NL("SUM","G/L Entry","Amount","G/L Account No.",$P95,"Fund No.",$F$22,"Global Dimension 2 Code",$F$12,"Global Dimension 1 Code",$H$77,"Company=",$D$6,"Transaction Type",Z$4,"Posting Date",Z$3),0))</t>
  </si>
  <si>
    <t>=IF(OR(AB$1="hide",$P95=""),0,ROUND(NL("SUM","G/L Entry","Amount","G/L Account No.",$P95,"Fund No.",$F$22,"Global Dimension 2 Code",$F$12,"Global Dimension 1 Code",$H$77,"Company=",$D$6,"Transaction Type",AB$4,"Posting Date",AB$3),0))</t>
  </si>
  <si>
    <t>=IF(OR(AD$1="hide",$P95=""),0,ROUND(NL("SUM","G/L Entry","Amount","G/L Account No.",$P95,"Fund No.",$F$22,"Global Dimension 2 Code",$F$12,"Global Dimension 1 Code",$H$77,"Company=",$D$6,"Transaction Type",AD$4,"Posting Date",AD$3),0))</t>
  </si>
  <si>
    <t>=IF(OR(AF$1="hide",$P95=""),0,ROUND(NL("SUM","G/L Entry","Amount","G/L Account No.",$P95,"Fund No.",$F$22,"Global Dimension 2 Code",$F$12,"Global Dimension 1 Code",$H$77,"Company=",$D$6,"Transaction Type",AF$4,"Posting Date",AF$3),0))</t>
  </si>
  <si>
    <t>=IF(OR(AH$1="hide",$P95=""),0,SUM(ROUND(NL("SUM","G/L Entry","Amount","G/L Account No.",$P95,"Fund No.",$F$22,"Global Dimension 2 Code",$F$12,"Global Dimension 1 Code",$H$77,"Company=",$D$6,"Transaction Type",AH$4,"Posting Date",AH$3),0),IF($P95="549001",-$AH$105,IF($P95="549900",-$AH$105,0))))</t>
  </si>
  <si>
    <t>=IF(ISERROR(AH95+AJ95),0,(AH95+AJ95))</t>
  </si>
  <si>
    <t>=IF($F$13="yes",0,IF($P95="",0,ROUND(NL("SUM","G/L Budget Entry","Amount","Fund No.",$F$22,"G/L Account No.",$P95,"Global Dimension 1 Code",$H$77,"Company=",$D$6,"Global Dimension 2 Code",$F$12,"Date",$AN$3),0)))</t>
  </si>
  <si>
    <t>=IF($F$13="YES",AF95,AN95)</t>
  </si>
  <si>
    <t>=IF(AQ96=0,"Hide","Show")</t>
  </si>
  <si>
    <t>="549069"</t>
  </si>
  <si>
    <t>=IF(K96="","500000 51699",K96&amp;" "&amp;"51699")</t>
  </si>
  <si>
    <t>=K96</t>
  </si>
  <si>
    <t>=IF($P96="","",(NL("Rows","G/L Account","Name","No.",$P96,"Company=",$D$6)))</t>
  </si>
  <si>
    <t>=IF($P96="",0,ROUND(NL("SUM","G/L Entry","Amount","G/L Account No.",$P96,"Fund No.",$F$22,"Global Dimension 2 Code",$F$12,"Global Dimension 1 Code",$H$77,"Company=",$D$6,"Transaction Type",T$4,"Posting Date",T$3),0))</t>
  </si>
  <si>
    <t>=IF(OR(V$1="hide",$P96=""),0,ROUND(NL("SUM","G/L Entry","Amount","G/L Account No.",$P96,"Fund No.",$F$22,"Global Dimension 2 Code",$F$12,"Global Dimension 1 Code",$H$77,"Company=",$D$6,"Transaction Type",V$4,"Posting Date",V$3),0))</t>
  </si>
  <si>
    <t>=IF(OR(X$1="hide",$P96=""),0,ROUND(NL("SUM","G/L Entry","Amount","G/L Account No.",$P96,"Fund No.",$F$22,"Global Dimension 2 Code",$F$12,"Global Dimension 1 Code",$H$77,"Company=",$D$6,"Transaction Type",X$4,"Posting Date",X$3),0))</t>
  </si>
  <si>
    <t>=IF(OR(Z$1="hide",$P96=""),0,ROUND(NL("SUM","G/L Entry","Amount","G/L Account No.",$P96,"Fund No.",$F$22,"Global Dimension 2 Code",$F$12,"Global Dimension 1 Code",$H$77,"Company=",$D$6,"Transaction Type",Z$4,"Posting Date",Z$3),0))</t>
  </si>
  <si>
    <t>=IF(OR(AB$1="hide",$P96=""),0,ROUND(NL("SUM","G/L Entry","Amount","G/L Account No.",$P96,"Fund No.",$F$22,"Global Dimension 2 Code",$F$12,"Global Dimension 1 Code",$H$77,"Company=",$D$6,"Transaction Type",AB$4,"Posting Date",AB$3),0))</t>
  </si>
  <si>
    <t>=IF(OR(AD$1="hide",$P96=""),0,ROUND(NL("SUM","G/L Entry","Amount","G/L Account No.",$P96,"Fund No.",$F$22,"Global Dimension 2 Code",$F$12,"Global Dimension 1 Code",$H$77,"Company=",$D$6,"Transaction Type",AD$4,"Posting Date",AD$3),0))</t>
  </si>
  <si>
    <t>=IF(OR(AF$1="hide",$P96=""),0,ROUND(NL("SUM","G/L Entry","Amount","G/L Account No.",$P96,"Fund No.",$F$22,"Global Dimension 2 Code",$F$12,"Global Dimension 1 Code",$H$77,"Company=",$D$6,"Transaction Type",AF$4,"Posting Date",AF$3),0))</t>
  </si>
  <si>
    <t>=IF(OR(AH$1="hide",$P96=""),0,SUM(ROUND(NL("SUM","G/L Entry","Amount","G/L Account No.",$P96,"Fund No.",$F$22,"Global Dimension 2 Code",$F$12,"Global Dimension 1 Code",$H$77,"Company=",$D$6,"Transaction Type",AH$4,"Posting Date",AH$3),0),IF($P96="549001",-$AH$105,IF($P96="549900",-$AH$105,0))))</t>
  </si>
  <si>
    <t>=IF(ISERROR(AH96+AJ96),0,(AH96+AJ96))</t>
  </si>
  <si>
    <t>=IF($F$13="yes",0,IF($P96="",0,ROUND(NL("SUM","G/L Budget Entry","Amount","Fund No.",$F$22,"G/L Account No.",$P96,"Global Dimension 1 Code",$H$77,"Company=",$D$6,"Global Dimension 2 Code",$F$12,"Date",$AN$3),0)))</t>
  </si>
  <si>
    <t>=IF($F$13="YES",AF96,AN96)</t>
  </si>
  <si>
    <t>=ABS(SUMIF(V96:AP96,"&gt;0")-SUMIF(V96:AP96,"&lt;0"))</t>
  </si>
  <si>
    <t>=IF(AQ97=0,"Hide","Show")</t>
  </si>
  <si>
    <t>="549070"</t>
  </si>
  <si>
    <t>=IF(K97="","500000 51699",K97&amp;" "&amp;"51699")</t>
  </si>
  <si>
    <t>=K97</t>
  </si>
  <si>
    <t>=IF($P97="","",(NL("Rows","G/L Account","Name","No.",$P97,"Company=",$D$6)))</t>
  </si>
  <si>
    <t>=IF($P97="",0,ROUND(NL("SUM","G/L Entry","Amount","G/L Account No.",$P97,"Fund No.",$F$22,"Global Dimension 2 Code",$F$12,"Global Dimension 1 Code",$H$77,"Company=",$D$6,"Transaction Type",T$4,"Posting Date",T$3),0))</t>
  </si>
  <si>
    <t>=IF(OR(V$1="hide",$P97=""),0,ROUND(NL("SUM","G/L Entry","Amount","G/L Account No.",$P97,"Fund No.",$F$22,"Global Dimension 2 Code",$F$12,"Global Dimension 1 Code",$H$77,"Company=",$D$6,"Transaction Type",V$4,"Posting Date",V$3),0))</t>
  </si>
  <si>
    <t>=IF(OR(X$1="hide",$P97=""),0,ROUND(NL("SUM","G/L Entry","Amount","G/L Account No.",$P97,"Fund No.",$F$22,"Global Dimension 2 Code",$F$12,"Global Dimension 1 Code",$H$77,"Company=",$D$6,"Transaction Type",X$4,"Posting Date",X$3),0))</t>
  </si>
  <si>
    <t>=IF(OR(Z$1="hide",$P97=""),0,ROUND(NL("SUM","G/L Entry","Amount","G/L Account No.",$P97,"Fund No.",$F$22,"Global Dimension 2 Code",$F$12,"Global Dimension 1 Code",$H$77,"Company=",$D$6,"Transaction Type",Z$4,"Posting Date",Z$3),0))</t>
  </si>
  <si>
    <t>=IF(OR(AB$1="hide",$P97=""),0,ROUND(NL("SUM","G/L Entry","Amount","G/L Account No.",$P97,"Fund No.",$F$22,"Global Dimension 2 Code",$F$12,"Global Dimension 1 Code",$H$77,"Company=",$D$6,"Transaction Type",AB$4,"Posting Date",AB$3),0))</t>
  </si>
  <si>
    <t>=IF(OR(AD$1="hide",$P97=""),0,ROUND(NL("SUM","G/L Entry","Amount","G/L Account No.",$P97,"Fund No.",$F$22,"Global Dimension 2 Code",$F$12,"Global Dimension 1 Code",$H$77,"Company=",$D$6,"Transaction Type",AD$4,"Posting Date",AD$3),0))</t>
  </si>
  <si>
    <t>=IF(OR(AF$1="hide",$P97=""),0,ROUND(NL("SUM","G/L Entry","Amount","G/L Account No.",$P97,"Fund No.",$F$22,"Global Dimension 2 Code",$F$12,"Global Dimension 1 Code",$H$77,"Company=",$D$6,"Transaction Type",AF$4,"Posting Date",AF$3),0))</t>
  </si>
  <si>
    <t>=IF(OR(AH$1="hide",$P97=""),0,SUM(ROUND(NL("SUM","G/L Entry","Amount","G/L Account No.",$P97,"Fund No.",$F$22,"Global Dimension 2 Code",$F$12,"Global Dimension 1 Code",$H$77,"Company=",$D$6,"Transaction Type",AH$4,"Posting Date",AH$3),0),IF($P97="549001",-$AH$105,IF($P97="549900",-$AH$105,0))))</t>
  </si>
  <si>
    <t>=IF(ISERROR(AH97+AJ97),0,(AH97+AJ97))</t>
  </si>
  <si>
    <t>=IF($F$13="yes",0,IF($P97="",0,ROUND(NL("SUM","G/L Budget Entry","Amount","Fund No.",$F$22,"G/L Account No.",$P97,"Global Dimension 1 Code",$H$77,"Company=",$D$6,"Global Dimension 2 Code",$F$12,"Date",$AN$3),0)))</t>
  </si>
  <si>
    <t>=IF($F$13="YES",AF97,AN97)</t>
  </si>
  <si>
    <t>=ABS(SUMIF(V97:AP97,"&gt;0")-SUMIF(V97:AP97,"&lt;0"))</t>
  </si>
  <si>
    <t>=IF(AQ98=0,"Hide","Show")</t>
  </si>
  <si>
    <t>="549900"</t>
  </si>
  <si>
    <t>=IF(K98="","500000 51699",K98&amp;" "&amp;"51699")</t>
  </si>
  <si>
    <t>=K98</t>
  </si>
  <si>
    <t>=IF($P98="","",(NL("Rows","G/L Account","Name","No.",$P98,"Company=",$D$6)))</t>
  </si>
  <si>
    <t>=IF($P98="",0,ROUND(NL("SUM","G/L Entry","Amount","G/L Account No.",$P98,"Fund No.",$F$22,"Global Dimension 2 Code",$F$12,"Global Dimension 1 Code",$H$77,"Company=",$D$6,"Transaction Type",T$4,"Posting Date",T$3),0))</t>
  </si>
  <si>
    <t>=IF(OR(V$1="hide",$P98=""),0,ROUND(NL("SUM","G/L Entry","Amount","G/L Account No.",$P98,"Fund No.",$F$22,"Global Dimension 2 Code",$F$12,"Global Dimension 1 Code",$H$77,"Company=",$D$6,"Transaction Type",V$4,"Posting Date",V$3),0))</t>
  </si>
  <si>
    <t>=IF(OR(X$1="hide",$P98=""),0,ROUND(NL("SUM","G/L Entry","Amount","G/L Account No.",$P98,"Fund No.",$F$22,"Global Dimension 2 Code",$F$12,"Global Dimension 1 Code",$H$77,"Company=",$D$6,"Transaction Type",X$4,"Posting Date",X$3),0))</t>
  </si>
  <si>
    <t>=IF(OR(Z$1="hide",$P98=""),0,ROUND(NL("SUM","G/L Entry","Amount","G/L Account No.",$P98,"Fund No.",$F$22,"Global Dimension 2 Code",$F$12,"Global Dimension 1 Code",$H$77,"Company=",$D$6,"Transaction Type",Z$4,"Posting Date",Z$3),0))</t>
  </si>
  <si>
    <t>=IF(OR(AB$1="hide",$P98=""),0,ROUND(NL("SUM","G/L Entry","Amount","G/L Account No.",$P98,"Fund No.",$F$22,"Global Dimension 2 Code",$F$12,"Global Dimension 1 Code",$H$77,"Company=",$D$6,"Transaction Type",AB$4,"Posting Date",AB$3),0))</t>
  </si>
  <si>
    <t>=IF(OR(AD$1="hide",$P98=""),0,ROUND(NL("SUM","G/L Entry","Amount","G/L Account No.",$P98,"Fund No.",$F$22,"Global Dimension 2 Code",$F$12,"Global Dimension 1 Code",$H$77,"Company=",$D$6,"Transaction Type",AD$4,"Posting Date",AD$3),0))</t>
  </si>
  <si>
    <t>=IF(OR(AF$1="hide",$P98=""),0,ROUND(NL("SUM","G/L Entry","Amount","G/L Account No.",$P98,"Fund No.",$F$22,"Global Dimension 2 Code",$F$12,"Global Dimension 1 Code",$H$77,"Company=",$D$6,"Transaction Type",AF$4,"Posting Date",AF$3),0))</t>
  </si>
  <si>
    <t>=IF(OR(AH$1="hide",$P98=""),0,SUM(ROUND(NL("SUM","G/L Entry","Amount","G/L Account No.",$P98,"Fund No.",$F$22,"Global Dimension 2 Code",$F$12,"Global Dimension 1 Code",$H$77,"Company=",$D$6,"Transaction Type",AH$4,"Posting Date",AH$3),0),IF($P98="549001",-$AH$105,IF($P98="549900",-$AH$105,0))))</t>
  </si>
  <si>
    <t>=IF(ISERROR(AH98+AJ98),0,(AH98+AJ98))</t>
  </si>
  <si>
    <t>=IF($F$13="yes",0,IF($P98="",0,ROUND(NL("SUM","G/L Budget Entry","Amount","Fund No.",$F$22,"G/L Account No.",$P98,"Global Dimension 1 Code",$H$77,"Company=",$D$6,"Global Dimension 2 Code",$F$12,"Date",$AN$3),0)))</t>
  </si>
  <si>
    <t>=IF($F$13="YES",AF98,AN98)</t>
  </si>
  <si>
    <t>=IF(AQ99=0,"Hide","Show")</t>
  </si>
  <si>
    <t>="551002"</t>
  </si>
  <si>
    <t>=IF(K99="","500000 51699",K99&amp;" "&amp;"51699")</t>
  </si>
  <si>
    <t>=K99</t>
  </si>
  <si>
    <t>=IF($P99="","",(NL("Rows","G/L Account","Name","No.",$P99,"Company=",$D$6)))</t>
  </si>
  <si>
    <t>=IF($P99="",0,ROUND(NL("SUM","G/L Entry","Amount","G/L Account No.",$P99,"Fund No.",$F$22,"Global Dimension 2 Code",$F$12,"Global Dimension 1 Code",$H$77,"Company=",$D$6,"Transaction Type",T$4,"Posting Date",T$3),0))</t>
  </si>
  <si>
    <t>=IF(OR(V$1="hide",$P99=""),0,ROUND(NL("SUM","G/L Entry","Amount","G/L Account No.",$P99,"Fund No.",$F$22,"Global Dimension 2 Code",$F$12,"Global Dimension 1 Code",$H$77,"Company=",$D$6,"Transaction Type",V$4,"Posting Date",V$3),0))</t>
  </si>
  <si>
    <t>=IF(OR(X$1="hide",$P99=""),0,ROUND(NL("SUM","G/L Entry","Amount","G/L Account No.",$P99,"Fund No.",$F$22,"Global Dimension 2 Code",$F$12,"Global Dimension 1 Code",$H$77,"Company=",$D$6,"Transaction Type",X$4,"Posting Date",X$3),0))</t>
  </si>
  <si>
    <t>=IF(OR(Z$1="hide",$P99=""),0,ROUND(NL("SUM","G/L Entry","Amount","G/L Account No.",$P99,"Fund No.",$F$22,"Global Dimension 2 Code",$F$12,"Global Dimension 1 Code",$H$77,"Company=",$D$6,"Transaction Type",Z$4,"Posting Date",Z$3),0))</t>
  </si>
  <si>
    <t>=IF(OR(AB$1="hide",$P99=""),0,ROUND(NL("SUM","G/L Entry","Amount","G/L Account No.",$P99,"Fund No.",$F$22,"Global Dimension 2 Code",$F$12,"Global Dimension 1 Code",$H$77,"Company=",$D$6,"Transaction Type",AB$4,"Posting Date",AB$3),0))</t>
  </si>
  <si>
    <t>=IF(OR(AD$1="hide",$P99=""),0,ROUND(NL("SUM","G/L Entry","Amount","G/L Account No.",$P99,"Fund No.",$F$22,"Global Dimension 2 Code",$F$12,"Global Dimension 1 Code",$H$77,"Company=",$D$6,"Transaction Type",AD$4,"Posting Date",AD$3),0))</t>
  </si>
  <si>
    <t>=IF(OR(AF$1="hide",$P99=""),0,ROUND(NL("SUM","G/L Entry","Amount","G/L Account No.",$P99,"Fund No.",$F$22,"Global Dimension 2 Code",$F$12,"Global Dimension 1 Code",$H$77,"Company=",$D$6,"Transaction Type",AF$4,"Posting Date",AF$3),0))</t>
  </si>
  <si>
    <t>=IF(OR(AH$1="hide",$P99=""),0,SUM(ROUND(NL("SUM","G/L Entry","Amount","G/L Account No.",$P99,"Fund No.",$F$22,"Global Dimension 2 Code",$F$12,"Global Dimension 1 Code",$H$77,"Company=",$D$6,"Transaction Type",AH$4,"Posting Date",AH$3),0),IF($P99="549001",-$AH$105,IF($P99="549900",-$AH$105,0))))</t>
  </si>
  <si>
    <t>=IF(ISERROR(AH99+AJ99),0,(AH99+AJ99))</t>
  </si>
  <si>
    <t>=IF($F$13="yes",0,IF($P99="",0,ROUND(NL("SUM","G/L Budget Entry","Amount","Fund No.",$F$22,"G/L Account No.",$P99,"Global Dimension 1 Code",$H$77,"Company=",$D$6,"Global Dimension 2 Code",$F$12,"Date",$AN$3),0)))</t>
  </si>
  <si>
    <t>=IF($F$13="YES",AF99,AN99)</t>
  </si>
  <si>
    <t>=ABS(SUMIF(V99:AP99,"&gt;0")-SUMIF(V99:AP99,"&lt;0"))</t>
  </si>
  <si>
    <t>=IF(AQ100=0,"Hide","Show")</t>
  </si>
  <si>
    <t>="554007"</t>
  </si>
  <si>
    <t>=IF(K100="","500000 51699",K100&amp;" "&amp;"51699")</t>
  </si>
  <si>
    <t>=K100</t>
  </si>
  <si>
    <t>=IF($P100="","",(NL("Rows","G/L Account","Name","No.",$P100,"Company=",$D$6)))</t>
  </si>
  <si>
    <t>=IF($P100="",0,ROUND(NL("SUM","G/L Entry","Amount","G/L Account No.",$P100,"Fund No.",$F$22,"Global Dimension 2 Code",$F$12,"Global Dimension 1 Code",$H$77,"Company=",$D$6,"Transaction Type",T$4,"Posting Date",T$3),0))</t>
  </si>
  <si>
    <t>=IF(OR(V$1="hide",$P100=""),0,ROUND(NL("SUM","G/L Entry","Amount","G/L Account No.",$P100,"Fund No.",$F$22,"Global Dimension 2 Code",$F$12,"Global Dimension 1 Code",$H$77,"Company=",$D$6,"Transaction Type",V$4,"Posting Date",V$3),0))</t>
  </si>
  <si>
    <t>=IF(OR(X$1="hide",$P100=""),0,ROUND(NL("SUM","G/L Entry","Amount","G/L Account No.",$P100,"Fund No.",$F$22,"Global Dimension 2 Code",$F$12,"Global Dimension 1 Code",$H$77,"Company=",$D$6,"Transaction Type",X$4,"Posting Date",X$3),0))</t>
  </si>
  <si>
    <t>=IF(OR(Z$1="hide",$P100=""),0,ROUND(NL("SUM","G/L Entry","Amount","G/L Account No.",$P100,"Fund No.",$F$22,"Global Dimension 2 Code",$F$12,"Global Dimension 1 Code",$H$77,"Company=",$D$6,"Transaction Type",Z$4,"Posting Date",Z$3),0))</t>
  </si>
  <si>
    <t>=IF(OR(AB$1="hide",$P100=""),0,ROUND(NL("SUM","G/L Entry","Amount","G/L Account No.",$P100,"Fund No.",$F$22,"Global Dimension 2 Code",$F$12,"Global Dimension 1 Code",$H$77,"Company=",$D$6,"Transaction Type",AB$4,"Posting Date",AB$3),0))</t>
  </si>
  <si>
    <t>=IF(OR(AD$1="hide",$P100=""),0,ROUND(NL("SUM","G/L Entry","Amount","G/L Account No.",$P100,"Fund No.",$F$22,"Global Dimension 2 Code",$F$12,"Global Dimension 1 Code",$H$77,"Company=",$D$6,"Transaction Type",AD$4,"Posting Date",AD$3),0))</t>
  </si>
  <si>
    <t>=IF(OR(AF$1="hide",$P100=""),0,ROUND(NL("SUM","G/L Entry","Amount","G/L Account No.",$P100,"Fund No.",$F$22,"Global Dimension 2 Code",$F$12,"Global Dimension 1 Code",$H$77,"Company=",$D$6,"Transaction Type",AF$4,"Posting Date",AF$3),0))</t>
  </si>
  <si>
    <t>=IF(OR(AH$1="hide",$P100=""),0,SUM(ROUND(NL("SUM","G/L Entry","Amount","G/L Account No.",$P100,"Fund No.",$F$22,"Global Dimension 2 Code",$F$12,"Global Dimension 1 Code",$H$77,"Company=",$D$6,"Transaction Type",AH$4,"Posting Date",AH$3),0),IF($P100="549001",-$AH$105,IF($P100="549900",-$AH$105,0))))</t>
  </si>
  <si>
    <t>=IF(ISERROR(AH100+AJ100),0,(AH100+AJ100))</t>
  </si>
  <si>
    <t>=IF($F$13="yes",0,IF($P100="",0,ROUND(NL("SUM","G/L Budget Entry","Amount","Fund No.",$F$22,"G/L Account No.",$P100,"Global Dimension 1 Code",$H$77,"Company=",$D$6,"Global Dimension 2 Code",$F$12,"Date",$AN$3),0)))</t>
  </si>
  <si>
    <t>=IF($F$13="YES",AF100,AN100)</t>
  </si>
  <si>
    <t>=ABS(SUMIF(V100:AP100,"&gt;0")-SUMIF(V100:AP100,"&lt;0"))</t>
  </si>
  <si>
    <t>=IF(AQ101=0,"Hide","Show")</t>
  </si>
  <si>
    <t>="564043"</t>
  </si>
  <si>
    <t>=IF(K101="","500000 51699",K101&amp;" "&amp;"51699")</t>
  </si>
  <si>
    <t>=K101</t>
  </si>
  <si>
    <t>=IF($P101="","",(NL("Rows","G/L Account","Name","No.",$P101,"Company=",$D$6)))</t>
  </si>
  <si>
    <t>=IF($P101="",0,ROUND(NL("SUM","G/L Entry","Amount","G/L Account No.",$P101,"Fund No.",$F$22,"Global Dimension 2 Code",$F$12,"Global Dimension 1 Code",$H$77,"Company=",$D$6,"Transaction Type",T$4,"Posting Date",T$3),0))</t>
  </si>
  <si>
    <t>=IF(OR(V$1="hide",$P101=""),0,ROUND(NL("SUM","G/L Entry","Amount","G/L Account No.",$P101,"Fund No.",$F$22,"Global Dimension 2 Code",$F$12,"Global Dimension 1 Code",$H$77,"Company=",$D$6,"Transaction Type",V$4,"Posting Date",V$3),0))</t>
  </si>
  <si>
    <t>=IF(OR(X$1="hide",$P101=""),0,ROUND(NL("SUM","G/L Entry","Amount","G/L Account No.",$P101,"Fund No.",$F$22,"Global Dimension 2 Code",$F$12,"Global Dimension 1 Code",$H$77,"Company=",$D$6,"Transaction Type",X$4,"Posting Date",X$3),0))</t>
  </si>
  <si>
    <t>=IF(OR(Z$1="hide",$P101=""),0,ROUND(NL("SUM","G/L Entry","Amount","G/L Account No.",$P101,"Fund No.",$F$22,"Global Dimension 2 Code",$F$12,"Global Dimension 1 Code",$H$77,"Company=",$D$6,"Transaction Type",Z$4,"Posting Date",Z$3),0))</t>
  </si>
  <si>
    <t>=IF(OR(AB$1="hide",$P101=""),0,ROUND(NL("SUM","G/L Entry","Amount","G/L Account No.",$P101,"Fund No.",$F$22,"Global Dimension 2 Code",$F$12,"Global Dimension 1 Code",$H$77,"Company=",$D$6,"Transaction Type",AB$4,"Posting Date",AB$3),0))</t>
  </si>
  <si>
    <t>=IF(OR(AD$1="hide",$P101=""),0,ROUND(NL("SUM","G/L Entry","Amount","G/L Account No.",$P101,"Fund No.",$F$22,"Global Dimension 2 Code",$F$12,"Global Dimension 1 Code",$H$77,"Company=",$D$6,"Transaction Type",AD$4,"Posting Date",AD$3),0))</t>
  </si>
  <si>
    <t>=IF(OR(AF$1="hide",$P101=""),0,ROUND(NL("SUM","G/L Entry","Amount","G/L Account No.",$P101,"Fund No.",$F$22,"Global Dimension 2 Code",$F$12,"Global Dimension 1 Code",$H$77,"Company=",$D$6,"Transaction Type",AF$4,"Posting Date",AF$3),0))</t>
  </si>
  <si>
    <t>=IF(OR(AH$1="hide",$P101=""),0,SUM(ROUND(NL("SUM","G/L Entry","Amount","G/L Account No.",$P101,"Fund No.",$F$22,"Global Dimension 2 Code",$F$12,"Global Dimension 1 Code",$H$77,"Company=",$D$6,"Transaction Type",AH$4,"Posting Date",AH$3),0),IF($P101="549001",-$AH$105,IF($P101="549900",-$AH$105,0))))</t>
  </si>
  <si>
    <t>=IF(ISERROR(AH101+AJ101),0,(AH101+AJ101))</t>
  </si>
  <si>
    <t>=IF($F$13="yes",0,IF($P101="",0,ROUND(NL("SUM","G/L Budget Entry","Amount","Fund No.",$F$22,"G/L Account No.",$P101,"Global Dimension 1 Code",$H$77,"Company=",$D$6,"Global Dimension 2 Code",$F$12,"Date",$AN$3),0)))</t>
  </si>
  <si>
    <t>=IF($F$13="YES",AF101,AN101)</t>
  </si>
  <si>
    <t>=ABS(SUMIF(V101:AP101,"&gt;0")-SUMIF(V101:AP101,"&lt;0"))</t>
  </si>
  <si>
    <t>=IF(AQ103=0,"Hide","Show")</t>
  </si>
  <si>
    <t>="Total "&amp;R76</t>
  </si>
  <si>
    <t>=SUM(T78:T102)</t>
  </si>
  <si>
    <t>=SUM(V78:V102)</t>
  </si>
  <si>
    <t>=SUM(X78:X102)</t>
  </si>
  <si>
    <t>=SUM(Z78:Z102)</t>
  </si>
  <si>
    <t>=SUM(AB78:AB102)</t>
  </si>
  <si>
    <t>=SUM(AD78:AD102)</t>
  </si>
  <si>
    <t>=SUM(AF78:AF102)</t>
  </si>
  <si>
    <t>=SUM(AH78:AH102)</t>
  </si>
  <si>
    <t>=SUM(AJ78:AJ102)</t>
  </si>
  <si>
    <t>=SUM(AL78:AL102)</t>
  </si>
  <si>
    <t>=SUM(AN78:AN102)</t>
  </si>
  <si>
    <t>=SUM(AP78:AP102)</t>
  </si>
  <si>
    <t>=ABS(SUMIF(V103:AP103,"&gt;0")-SUMIF(V103:AP103,"&lt;0"))</t>
  </si>
  <si>
    <t>=$Z$293+$Z$294</t>
  </si>
  <si>
    <t>=NL("Rows=6", NL("Union", NL("allunique","G/L Entry",$E$21,$E$20,$E$105,$E$21,$H$105,"Fund No.",F$22,"Company=",$D$6,"Posting Date",$J$5),NL("allunique","G/L Budget Entry",$E$21,$E$20,$E$105,$E$21,$H$105,"Fund Code",F$22,"Company=",$D$6,"Date",$J$6)))</t>
  </si>
  <si>
    <t>=IF(AQ111=0,"Hide","Show")</t>
  </si>
  <si>
    <t>=I107</t>
  </si>
  <si>
    <t>=IF($I108="","",(NL("Rows","Dimension Value","Name","Dimension Code",$H107,"Code",$I108,"Company=",$D$6)))</t>
  </si>
  <si>
    <t>=IF(AQ109=0,"Hide","Show")</t>
  </si>
  <si>
    <t>=I108</t>
  </si>
  <si>
    <t>=NL("Rows", NL("Union", NL("allunique","G/L Entry",$E$20,$E$20,$E$105,$E$22,$F$22,$E$21,"@@"&amp;I109,"Company=",$D$6,"Posting Date",$J$5),NL("allunique","G/L Budget Entry",$E$20,$E$20,$E$105,$E$24,$F$22,$E$21,"@@"&amp;I109,"Company=",$D$6,"Date",$J$6)))</t>
  </si>
  <si>
    <t>=IF(I109="","500000 51800",K109&amp;" "&amp;I109)</t>
  </si>
  <si>
    <t>=K109</t>
  </si>
  <si>
    <t>=IF($P109="","",NL("Rows","G/L Account","Name","No.",$P109,"Company=",$D$6))</t>
  </si>
  <si>
    <t>=IF($P109="",0,ROUND(NL("SUM","G/L Entry","Amount","G/L Account No.",$P109,"Fund No.",$F$22,"Global Dimension 2 Code",$F$12,"Global Dimension 1 Code","@@"&amp;$I109,"Company=",$D$6,"Transaction Type",T$4,"Posting Date",T$3),0))</t>
  </si>
  <si>
    <t>=IF(OR(V$1="hide",$P109=""),0,ROUND(NL("SUM","G/L Entry","Amount","G/L Account No.",$P109,"Fund No.",$F$22,"Global Dimension 2 Code",$F$12,"Global Dimension 1 Code","@@"&amp;$I109,"Company=",$D$6,"Transaction Type",V$4,"Posting Date",V$3),0))</t>
  </si>
  <si>
    <t>=IF(OR(X$1="hide",$P109=""),0,ROUND(NL("SUM","G/L Entry","Amount","G/L Account No.",$P109,"Fund No.",$F$22,"Global Dimension 2 Code",$F$12,"Global Dimension 1 Code","@@"&amp;$I109,"Company=",$D$6,"Transaction Type",X$4,"Posting Date",X$3),0))</t>
  </si>
  <si>
    <t>=IF(OR(Z$1="hide",$P109=""),0,ROUND(NL("SUM","G/L Entry","Amount","G/L Account No.",$P109,"Fund No.",$F$22,"Global Dimension 2 Code",$F$12,"Global Dimension 1 Code","@@"&amp;$I109,"Company=",$D$6,"Transaction Type",Z$4,"Posting Date",Z$3),0))</t>
  </si>
  <si>
    <t>=IF(OR(AB$1="hide",$P109=""),0,ROUND(NL("SUM","G/L Entry","Amount","G/L Account No.",$P109,"Fund No.",$F$22,"Global Dimension 2 Code",$F$12,"Global Dimension 1 Code","@@"&amp;$I109,"Company=",$D$6,"Transaction Type",AB$4,"Posting Date",AB$3),0))</t>
  </si>
  <si>
    <t>=IF(OR(AD$1="hide",$P109=""),0,ROUND(NL("SUM","G/L Entry","Amount","G/L Account No.",$P109,"Fund No.",$F$22,"Global Dimension 2 Code",$F$12,"Global Dimension 1 Code","@@"&amp;$I109,"Company=",$D$6,"Transaction Type",AD$4,"Posting Date",AD$3),0))</t>
  </si>
  <si>
    <t>=IF(OR(AF$1="hide",$P109=""),0,ROUND(NL("SUM","G/L Entry","Amount","G/L Account No.",$P109,"Fund No.",$F$22,"Global Dimension 2 Code",$F$12,"Global Dimension 1 Code","@@"&amp;$I109,"Company=",$D$6,"Transaction Type",AF$4,"Posting Date",AF$3),0))</t>
  </si>
  <si>
    <t>=IF(OR(AH$1="hide",$P109=""),0,(ROUND(NL("SUM","G/L Entry","Amount","G/L Account No.",$P109,"Fund No.",$F$22,"Global Dimension 2 Code",$F$12,"Global Dimension 1 Code","@@"&amp;$I109,"Company=",$D$6,"Transaction Type",AH$4,"Posting Date",AH$3),0)))</t>
  </si>
  <si>
    <t>=IF(ISERROR(AH109+AJ109),0,(AH109+AJ109))</t>
  </si>
  <si>
    <t>=IF($F$13="yes",0,IF($P109="",0,ROUND(NL("SUM","G/L Budget Entry","Amount","Fund No.",$F$22,"G/L Account No.",$P109,"Company=",$D$6,"Global Dimension 1 Code","@@"&amp;$I109,"Global Dimension 2 Code",$F$12,"Date",$AN$3),0)))</t>
  </si>
  <si>
    <t>=IF($F$13="YES",AF109,AN109)</t>
  </si>
  <si>
    <t>=I109</t>
  </si>
  <si>
    <t>="Total " &amp;($R108)</t>
  </si>
  <si>
    <t>=SUM(T109:T110)</t>
  </si>
  <si>
    <t>=SUM(V109:V110)</t>
  </si>
  <si>
    <t>=SUM(X109:X110)</t>
  </si>
  <si>
    <t>=SUM(Z109:Z110)</t>
  </si>
  <si>
    <t>=SUM(AB109:AB110)</t>
  </si>
  <si>
    <t>=SUM(AD109:AD110)</t>
  </si>
  <si>
    <t>=SUM(AF109:AF110)</t>
  </si>
  <si>
    <t>=SUM(AH109:AH110)</t>
  </si>
  <si>
    <t>=SUM(AJ109:AJ110)</t>
  </si>
  <si>
    <t>=SUM(AL109:AL110)</t>
  </si>
  <si>
    <t>=SUM(AN109:AN110)</t>
  </si>
  <si>
    <t>=SUM(AP109:AP110)</t>
  </si>
  <si>
    <t>=SUM(T108:T110)</t>
  </si>
  <si>
    <t>=SUM(V108:V110)</t>
  </si>
  <si>
    <t>=SUM(X108:X110)</t>
  </si>
  <si>
    <t>=SUM(Z108:Z110)</t>
  </si>
  <si>
    <t>=SUM(AB108:AB110)</t>
  </si>
  <si>
    <t>=SUM(AD108:AD110)</t>
  </si>
  <si>
    <t>=SUM(AF108:AF110)</t>
  </si>
  <si>
    <t>=SUM(AH108:AH110)</t>
  </si>
  <si>
    <t>=SUM(AJ108:AJ110)</t>
  </si>
  <si>
    <t>=SUM(AL108:AL110)</t>
  </si>
  <si>
    <t>=SUM(AN108:AN110)</t>
  </si>
  <si>
    <t>=SUM(AP108:AP110)</t>
  </si>
  <si>
    <t>=B111</t>
  </si>
  <si>
    <t>=I111</t>
  </si>
  <si>
    <t>="53901"</t>
  </si>
  <si>
    <t>=IF(AQ129=0,"Hide","Show")</t>
  </si>
  <si>
    <t>=I113</t>
  </si>
  <si>
    <t>=IF($I114="","",(NL("Rows","Dimension Value","Name","Dimension Code",$H113,"Code",$I114,"Company=",$D$6)))</t>
  </si>
  <si>
    <t>=IF(AQ115=0,"Hide","Show")</t>
  </si>
  <si>
    <t>=I114</t>
  </si>
  <si>
    <t>=NL("Rows", NL("Union", NL("allunique","G/L Entry",$E$20,$E$20,$E$105,$E$22,$F$22,$E$21,"@@"&amp;I115,"Company=",$D$6,"Posting Date",$J$5),NL("allunique","G/L Budget Entry",$E$20,$E$20,$E$105,$E$24,$F$22,$E$21,"@@"&amp;I115,"Company=",$D$6,"Date",$J$6)))</t>
  </si>
  <si>
    <t>=IF(I115="","500000 51800",K115&amp;" "&amp;I115)</t>
  </si>
  <si>
    <t>=K115</t>
  </si>
  <si>
    <t>=IF($P115="","",NL("Rows","G/L Account","Name","No.",$P115,"Company=",$D$6))</t>
  </si>
  <si>
    <t>=IF($P115="",0,ROUND(NL("SUM","G/L Entry","Amount","G/L Account No.",$P115,"Fund No.",$F$22,"Global Dimension 2 Code",$F$12,"Global Dimension 1 Code","@@"&amp;$I115,"Company=",$D$6,"Transaction Type",T$4,"Posting Date",T$3),0))</t>
  </si>
  <si>
    <t>=IF(OR(V$1="hide",$P115=""),0,ROUND(NL("SUM","G/L Entry","Amount","G/L Account No.",$P115,"Fund No.",$F$22,"Global Dimension 2 Code",$F$12,"Global Dimension 1 Code","@@"&amp;$I115,"Company=",$D$6,"Transaction Type",V$4,"Posting Date",V$3),0))</t>
  </si>
  <si>
    <t>=IF(OR(X$1="hide",$P115=""),0,ROUND(NL("SUM","G/L Entry","Amount","G/L Account No.",$P115,"Fund No.",$F$22,"Global Dimension 2 Code",$F$12,"Global Dimension 1 Code","@@"&amp;$I115,"Company=",$D$6,"Transaction Type",X$4,"Posting Date",X$3),0))</t>
  </si>
  <si>
    <t>=IF(OR(Z$1="hide",$P115=""),0,ROUND(NL("SUM","G/L Entry","Amount","G/L Account No.",$P115,"Fund No.",$F$22,"Global Dimension 2 Code",$F$12,"Global Dimension 1 Code","@@"&amp;$I115,"Company=",$D$6,"Transaction Type",Z$4,"Posting Date",Z$3),0))</t>
  </si>
  <si>
    <t>=IF(OR(AB$1="hide",$P115=""),0,ROUND(NL("SUM","G/L Entry","Amount","G/L Account No.",$P115,"Fund No.",$F$22,"Global Dimension 2 Code",$F$12,"Global Dimension 1 Code","@@"&amp;$I115,"Company=",$D$6,"Transaction Type",AB$4,"Posting Date",AB$3),0))</t>
  </si>
  <si>
    <t>=IF(OR(AD$1="hide",$P115=""),0,ROUND(NL("SUM","G/L Entry","Amount","G/L Account No.",$P115,"Fund No.",$F$22,"Global Dimension 2 Code",$F$12,"Global Dimension 1 Code","@@"&amp;$I115,"Company=",$D$6,"Transaction Type",AD$4,"Posting Date",AD$3),0))</t>
  </si>
  <si>
    <t>=IF(OR(AF$1="hide",$P115=""),0,ROUND(NL("SUM","G/L Entry","Amount","G/L Account No.",$P115,"Fund No.",$F$22,"Global Dimension 2 Code",$F$12,"Global Dimension 1 Code","@@"&amp;$I115,"Company=",$D$6,"Transaction Type",AF$4,"Posting Date",AF$3),0))</t>
  </si>
  <si>
    <t>=IF(OR(AH$1="hide",$P115=""),0,(ROUND(NL("SUM","G/L Entry","Amount","G/L Account No.",$P115,"Fund No.",$F$22,"Global Dimension 2 Code",$F$12,"Global Dimension 1 Code","@@"&amp;$I115,"Company=",$D$6,"Transaction Type",AH$4,"Posting Date",AH$3),0)))</t>
  </si>
  <si>
    <t>=IF(ISERROR(AH115+AJ115),0,(AH115+AJ115))</t>
  </si>
  <si>
    <t>=IF($F$13="yes",0,IF($P115="",0,ROUND(NL("SUM","G/L Budget Entry","Amount","Fund No.",$F$22,"G/L Account No.",$P115,"Company=",$D$6,"Global Dimension 1 Code","@@"&amp;$I115,"Global Dimension 2 Code",$F$12,"Date",$AN$3),0)))</t>
  </si>
  <si>
    <t>=IF($F$13="YES",AF115,AN115)</t>
  </si>
  <si>
    <t>=IF(AQ116=0,"Hide","Show")</t>
  </si>
  <si>
    <t>=I115</t>
  </si>
  <si>
    <t>="531006"</t>
  </si>
  <si>
    <t>=IF(I116="","500000 51800",K116&amp;" "&amp;I116)</t>
  </si>
  <si>
    <t>=K116</t>
  </si>
  <si>
    <t>=IF($P116="","",NL("Rows","G/L Account","Name","No.",$P116,"Company=",$D$6))</t>
  </si>
  <si>
    <t>=IF($P116="",0,ROUND(NL("SUM","G/L Entry","Amount","G/L Account No.",$P116,"Fund No.",$F$22,"Global Dimension 2 Code",$F$12,"Global Dimension 1 Code","@@"&amp;$I116,"Company=",$D$6,"Transaction Type",T$4,"Posting Date",T$3),0))</t>
  </si>
  <si>
    <t>=IF(OR(V$1="hide",$P116=""),0,ROUND(NL("SUM","G/L Entry","Amount","G/L Account No.",$P116,"Fund No.",$F$22,"Global Dimension 2 Code",$F$12,"Global Dimension 1 Code","@@"&amp;$I116,"Company=",$D$6,"Transaction Type",V$4,"Posting Date",V$3),0))</t>
  </si>
  <si>
    <t>=IF(OR(X$1="hide",$P116=""),0,ROUND(NL("SUM","G/L Entry","Amount","G/L Account No.",$P116,"Fund No.",$F$22,"Global Dimension 2 Code",$F$12,"Global Dimension 1 Code","@@"&amp;$I116,"Company=",$D$6,"Transaction Type",X$4,"Posting Date",X$3),0))</t>
  </si>
  <si>
    <t>=IF(OR(Z$1="hide",$P116=""),0,ROUND(NL("SUM","G/L Entry","Amount","G/L Account No.",$P116,"Fund No.",$F$22,"Global Dimension 2 Code",$F$12,"Global Dimension 1 Code","@@"&amp;$I116,"Company=",$D$6,"Transaction Type",Z$4,"Posting Date",Z$3),0))</t>
  </si>
  <si>
    <t>=IF(OR(AB$1="hide",$P116=""),0,ROUND(NL("SUM","G/L Entry","Amount","G/L Account No.",$P116,"Fund No.",$F$22,"Global Dimension 2 Code",$F$12,"Global Dimension 1 Code","@@"&amp;$I116,"Company=",$D$6,"Transaction Type",AB$4,"Posting Date",AB$3),0))</t>
  </si>
  <si>
    <t>=IF(OR(AD$1="hide",$P116=""),0,ROUND(NL("SUM","G/L Entry","Amount","G/L Account No.",$P116,"Fund No.",$F$22,"Global Dimension 2 Code",$F$12,"Global Dimension 1 Code","@@"&amp;$I116,"Company=",$D$6,"Transaction Type",AD$4,"Posting Date",AD$3),0))</t>
  </si>
  <si>
    <t>=IF(OR(AF$1="hide",$P116=""),0,ROUND(NL("SUM","G/L Entry","Amount","G/L Account No.",$P116,"Fund No.",$F$22,"Global Dimension 2 Code",$F$12,"Global Dimension 1 Code","@@"&amp;$I116,"Company=",$D$6,"Transaction Type",AF$4,"Posting Date",AF$3),0))</t>
  </si>
  <si>
    <t>=IF(OR(AH$1="hide",$P116=""),0,(ROUND(NL("SUM","G/L Entry","Amount","G/L Account No.",$P116,"Fund No.",$F$22,"Global Dimension 2 Code",$F$12,"Global Dimension 1 Code","@@"&amp;$I116,"Company=",$D$6,"Transaction Type",AH$4,"Posting Date",AH$3),0)))</t>
  </si>
  <si>
    <t>=IF(ISERROR(AH116+AJ116),0,(AH116+AJ116))</t>
  </si>
  <si>
    <t>=IF($F$13="yes",0,IF($P116="",0,ROUND(NL("SUM","G/L Budget Entry","Amount","Fund No.",$F$22,"G/L Account No.",$P116,"Company=",$D$6,"Global Dimension 1 Code","@@"&amp;$I116,"Global Dimension 2 Code",$F$12,"Date",$AN$3),0)))</t>
  </si>
  <si>
    <t>=IF($F$13="YES",AF116,AN116)</t>
  </si>
  <si>
    <t>=IF(AQ117=0,"Hide","Show")</t>
  </si>
  <si>
    <t>=I116</t>
  </si>
  <si>
    <t>=IF(I117="","500000 51800",K117&amp;" "&amp;I117)</t>
  </si>
  <si>
    <t>=K117</t>
  </si>
  <si>
    <t>=IF($P117="","",NL("Rows","G/L Account","Name","No.",$P117,"Company=",$D$6))</t>
  </si>
  <si>
    <t>=IF($P117="",0,ROUND(NL("SUM","G/L Entry","Amount","G/L Account No.",$P117,"Fund No.",$F$22,"Global Dimension 2 Code",$F$12,"Global Dimension 1 Code","@@"&amp;$I117,"Company=",$D$6,"Transaction Type",T$4,"Posting Date",T$3),0))</t>
  </si>
  <si>
    <t>=IF(OR(V$1="hide",$P117=""),0,ROUND(NL("SUM","G/L Entry","Amount","G/L Account No.",$P117,"Fund No.",$F$22,"Global Dimension 2 Code",$F$12,"Global Dimension 1 Code","@@"&amp;$I117,"Company=",$D$6,"Transaction Type",V$4,"Posting Date",V$3),0))</t>
  </si>
  <si>
    <t>=IF(OR(X$1="hide",$P117=""),0,ROUND(NL("SUM","G/L Entry","Amount","G/L Account No.",$P117,"Fund No.",$F$22,"Global Dimension 2 Code",$F$12,"Global Dimension 1 Code","@@"&amp;$I117,"Company=",$D$6,"Transaction Type",X$4,"Posting Date",X$3),0))</t>
  </si>
  <si>
    <t>=IF(OR(Z$1="hide",$P117=""),0,ROUND(NL("SUM","G/L Entry","Amount","G/L Account No.",$P117,"Fund No.",$F$22,"Global Dimension 2 Code",$F$12,"Global Dimension 1 Code","@@"&amp;$I117,"Company=",$D$6,"Transaction Type",Z$4,"Posting Date",Z$3),0))</t>
  </si>
  <si>
    <t>=IF(OR(AB$1="hide",$P117=""),0,ROUND(NL("SUM","G/L Entry","Amount","G/L Account No.",$P117,"Fund No.",$F$22,"Global Dimension 2 Code",$F$12,"Global Dimension 1 Code","@@"&amp;$I117,"Company=",$D$6,"Transaction Type",AB$4,"Posting Date",AB$3),0))</t>
  </si>
  <si>
    <t>=IF(OR(AD$1="hide",$P117=""),0,ROUND(NL("SUM","G/L Entry","Amount","G/L Account No.",$P117,"Fund No.",$F$22,"Global Dimension 2 Code",$F$12,"Global Dimension 1 Code","@@"&amp;$I117,"Company=",$D$6,"Transaction Type",AD$4,"Posting Date",AD$3),0))</t>
  </si>
  <si>
    <t>=IF(OR(AF$1="hide",$P117=""),0,ROUND(NL("SUM","G/L Entry","Amount","G/L Account No.",$P117,"Fund No.",$F$22,"Global Dimension 2 Code",$F$12,"Global Dimension 1 Code","@@"&amp;$I117,"Company=",$D$6,"Transaction Type",AF$4,"Posting Date",AF$3),0))</t>
  </si>
  <si>
    <t>=IF(OR(AH$1="hide",$P117=""),0,(ROUND(NL("SUM","G/L Entry","Amount","G/L Account No.",$P117,"Fund No.",$F$22,"Global Dimension 2 Code",$F$12,"Global Dimension 1 Code","@@"&amp;$I117,"Company=",$D$6,"Transaction Type",AH$4,"Posting Date",AH$3),0)))</t>
  </si>
  <si>
    <t>=IF(ISERROR(AH117+AJ117),0,(AH117+AJ117))</t>
  </si>
  <si>
    <t>=IF($F$13="yes",0,IF($P117="",0,ROUND(NL("SUM","G/L Budget Entry","Amount","Fund No.",$F$22,"G/L Account No.",$P117,"Company=",$D$6,"Global Dimension 1 Code","@@"&amp;$I117,"Global Dimension 2 Code",$F$12,"Date",$AN$3),0)))</t>
  </si>
  <si>
    <t>=IF($F$13="YES",AF117,AN117)</t>
  </si>
  <si>
    <t>=ABS(SUMIF(V117:AP117,"&gt;0")-SUMIF(V117:AP117,"&lt;0"))</t>
  </si>
  <si>
    <t>=IF(AQ118=0,"Hide","Show")</t>
  </si>
  <si>
    <t>=I117</t>
  </si>
  <si>
    <t>="531016"</t>
  </si>
  <si>
    <t>=IF(I118="","500000 51800",K118&amp;" "&amp;I118)</t>
  </si>
  <si>
    <t>=K118</t>
  </si>
  <si>
    <t>=IF($P118="","",NL("Rows","G/L Account","Name","No.",$P118,"Company=",$D$6))</t>
  </si>
  <si>
    <t>=IF($P118="",0,ROUND(NL("SUM","G/L Entry","Amount","G/L Account No.",$P118,"Fund No.",$F$22,"Global Dimension 2 Code",$F$12,"Global Dimension 1 Code","@@"&amp;$I118,"Company=",$D$6,"Transaction Type",T$4,"Posting Date",T$3),0))</t>
  </si>
  <si>
    <t>=IF(OR(V$1="hide",$P118=""),0,ROUND(NL("SUM","G/L Entry","Amount","G/L Account No.",$P118,"Fund No.",$F$22,"Global Dimension 2 Code",$F$12,"Global Dimension 1 Code","@@"&amp;$I118,"Company=",$D$6,"Transaction Type",V$4,"Posting Date",V$3),0))</t>
  </si>
  <si>
    <t>=IF(OR(X$1="hide",$P118=""),0,ROUND(NL("SUM","G/L Entry","Amount","G/L Account No.",$P118,"Fund No.",$F$22,"Global Dimension 2 Code",$F$12,"Global Dimension 1 Code","@@"&amp;$I118,"Company=",$D$6,"Transaction Type",X$4,"Posting Date",X$3),0))</t>
  </si>
  <si>
    <t>=IF(OR(Z$1="hide",$P118=""),0,ROUND(NL("SUM","G/L Entry","Amount","G/L Account No.",$P118,"Fund No.",$F$22,"Global Dimension 2 Code",$F$12,"Global Dimension 1 Code","@@"&amp;$I118,"Company=",$D$6,"Transaction Type",Z$4,"Posting Date",Z$3),0))</t>
  </si>
  <si>
    <t>=IF(OR(AB$1="hide",$P118=""),0,ROUND(NL("SUM","G/L Entry","Amount","G/L Account No.",$P118,"Fund No.",$F$22,"Global Dimension 2 Code",$F$12,"Global Dimension 1 Code","@@"&amp;$I118,"Company=",$D$6,"Transaction Type",AB$4,"Posting Date",AB$3),0))</t>
  </si>
  <si>
    <t>=IF(OR(AD$1="hide",$P118=""),0,ROUND(NL("SUM","G/L Entry","Amount","G/L Account No.",$P118,"Fund No.",$F$22,"Global Dimension 2 Code",$F$12,"Global Dimension 1 Code","@@"&amp;$I118,"Company=",$D$6,"Transaction Type",AD$4,"Posting Date",AD$3),0))</t>
  </si>
  <si>
    <t>=IF(OR(AF$1="hide",$P118=""),0,ROUND(NL("SUM","G/L Entry","Amount","G/L Account No.",$P118,"Fund No.",$F$22,"Global Dimension 2 Code",$F$12,"Global Dimension 1 Code","@@"&amp;$I118,"Company=",$D$6,"Transaction Type",AF$4,"Posting Date",AF$3),0))</t>
  </si>
  <si>
    <t>=IF(OR(AH$1="hide",$P118=""),0,(ROUND(NL("SUM","G/L Entry","Amount","G/L Account No.",$P118,"Fund No.",$F$22,"Global Dimension 2 Code",$F$12,"Global Dimension 1 Code","@@"&amp;$I118,"Company=",$D$6,"Transaction Type",AH$4,"Posting Date",AH$3),0)))</t>
  </si>
  <si>
    <t>=IF(ISERROR(AH118+AJ118),0,(AH118+AJ118))</t>
  </si>
  <si>
    <t>=IF($F$13="yes",0,IF($P118="",0,ROUND(NL("SUM","G/L Budget Entry","Amount","Fund No.",$F$22,"G/L Account No.",$P118,"Company=",$D$6,"Global Dimension 1 Code","@@"&amp;$I118,"Global Dimension 2 Code",$F$12,"Date",$AN$3),0)))</t>
  </si>
  <si>
    <t>=IF($F$13="YES",AF118,AN118)</t>
  </si>
  <si>
    <t>=IF(AQ119=0,"Hide","Show")</t>
  </si>
  <si>
    <t>=I118</t>
  </si>
  <si>
    <t>=IF(I119="","500000 51800",K119&amp;" "&amp;I119)</t>
  </si>
  <si>
    <t>=K119</t>
  </si>
  <si>
    <t>=IF($P119="","",NL("Rows","G/L Account","Name","No.",$P119,"Company=",$D$6))</t>
  </si>
  <si>
    <t>=IF($P119="",0,ROUND(NL("SUM","G/L Entry","Amount","G/L Account No.",$P119,"Fund No.",$F$22,"Global Dimension 2 Code",$F$12,"Global Dimension 1 Code","@@"&amp;$I119,"Company=",$D$6,"Transaction Type",T$4,"Posting Date",T$3),0))</t>
  </si>
  <si>
    <t>=IF(OR(V$1="hide",$P119=""),0,ROUND(NL("SUM","G/L Entry","Amount","G/L Account No.",$P119,"Fund No.",$F$22,"Global Dimension 2 Code",$F$12,"Global Dimension 1 Code","@@"&amp;$I119,"Company=",$D$6,"Transaction Type",V$4,"Posting Date",V$3),0))</t>
  </si>
  <si>
    <t>=IF(OR(X$1="hide",$P119=""),0,ROUND(NL("SUM","G/L Entry","Amount","G/L Account No.",$P119,"Fund No.",$F$22,"Global Dimension 2 Code",$F$12,"Global Dimension 1 Code","@@"&amp;$I119,"Company=",$D$6,"Transaction Type",X$4,"Posting Date",X$3),0))</t>
  </si>
  <si>
    <t>=IF(OR(Z$1="hide",$P119=""),0,ROUND(NL("SUM","G/L Entry","Amount","G/L Account No.",$P119,"Fund No.",$F$22,"Global Dimension 2 Code",$F$12,"Global Dimension 1 Code","@@"&amp;$I119,"Company=",$D$6,"Transaction Type",Z$4,"Posting Date",Z$3),0))</t>
  </si>
  <si>
    <t>=IF(OR(AB$1="hide",$P119=""),0,ROUND(NL("SUM","G/L Entry","Amount","G/L Account No.",$P119,"Fund No.",$F$22,"Global Dimension 2 Code",$F$12,"Global Dimension 1 Code","@@"&amp;$I119,"Company=",$D$6,"Transaction Type",AB$4,"Posting Date",AB$3),0))</t>
  </si>
  <si>
    <t>=IF(OR(AD$1="hide",$P119=""),0,ROUND(NL("SUM","G/L Entry","Amount","G/L Account No.",$P119,"Fund No.",$F$22,"Global Dimension 2 Code",$F$12,"Global Dimension 1 Code","@@"&amp;$I119,"Company=",$D$6,"Transaction Type",AD$4,"Posting Date",AD$3),0))</t>
  </si>
  <si>
    <t>=IF(OR(AF$1="hide",$P119=""),0,ROUND(NL("SUM","G/L Entry","Amount","G/L Account No.",$P119,"Fund No.",$F$22,"Global Dimension 2 Code",$F$12,"Global Dimension 1 Code","@@"&amp;$I119,"Company=",$D$6,"Transaction Type",AF$4,"Posting Date",AF$3),0))</t>
  </si>
  <si>
    <t>=IF(OR(AH$1="hide",$P119=""),0,(ROUND(NL("SUM","G/L Entry","Amount","G/L Account No.",$P119,"Fund No.",$F$22,"Global Dimension 2 Code",$F$12,"Global Dimension 1 Code","@@"&amp;$I119,"Company=",$D$6,"Transaction Type",AH$4,"Posting Date",AH$3),0)))</t>
  </si>
  <si>
    <t>=IF(ISERROR(AH119+AJ119),0,(AH119+AJ119))</t>
  </si>
  <si>
    <t>=IF($F$13="yes",0,IF($P119="",0,ROUND(NL("SUM","G/L Budget Entry","Amount","Fund No.",$F$22,"G/L Account No.",$P119,"Company=",$D$6,"Global Dimension 1 Code","@@"&amp;$I119,"Global Dimension 2 Code",$F$12,"Date",$AN$3),0)))</t>
  </si>
  <si>
    <t>=IF($F$13="YES",AF119,AN119)</t>
  </si>
  <si>
    <t>=ABS(SUMIF(V119:AP119,"&gt;0")-SUMIF(V119:AP119,"&lt;0"))</t>
  </si>
  <si>
    <t>=IF(AQ120=0,"Hide","Show")</t>
  </si>
  <si>
    <t>=I119</t>
  </si>
  <si>
    <t>="543022"</t>
  </si>
  <si>
    <t>=IF(I120="","500000 51800",K120&amp;" "&amp;I120)</t>
  </si>
  <si>
    <t>=K120</t>
  </si>
  <si>
    <t>=IF($P120="","",NL("Rows","G/L Account","Name","No.",$P120,"Company=",$D$6))</t>
  </si>
  <si>
    <t>=IF($P120="",0,ROUND(NL("SUM","G/L Entry","Amount","G/L Account No.",$P120,"Fund No.",$F$22,"Global Dimension 2 Code",$F$12,"Global Dimension 1 Code","@@"&amp;$I120,"Company=",$D$6,"Transaction Type",T$4,"Posting Date",T$3),0))</t>
  </si>
  <si>
    <t>=IF(OR(V$1="hide",$P120=""),0,ROUND(NL("SUM","G/L Entry","Amount","G/L Account No.",$P120,"Fund No.",$F$22,"Global Dimension 2 Code",$F$12,"Global Dimension 1 Code","@@"&amp;$I120,"Company=",$D$6,"Transaction Type",V$4,"Posting Date",V$3),0))</t>
  </si>
  <si>
    <t>=IF(OR(X$1="hide",$P120=""),0,ROUND(NL("SUM","G/L Entry","Amount","G/L Account No.",$P120,"Fund No.",$F$22,"Global Dimension 2 Code",$F$12,"Global Dimension 1 Code","@@"&amp;$I120,"Company=",$D$6,"Transaction Type",X$4,"Posting Date",X$3),0))</t>
  </si>
  <si>
    <t>=IF(OR(Z$1="hide",$P120=""),0,ROUND(NL("SUM","G/L Entry","Amount","G/L Account No.",$P120,"Fund No.",$F$22,"Global Dimension 2 Code",$F$12,"Global Dimension 1 Code","@@"&amp;$I120,"Company=",$D$6,"Transaction Type",Z$4,"Posting Date",Z$3),0))</t>
  </si>
  <si>
    <t>=IF(OR(AB$1="hide",$P120=""),0,ROUND(NL("SUM","G/L Entry","Amount","G/L Account No.",$P120,"Fund No.",$F$22,"Global Dimension 2 Code",$F$12,"Global Dimension 1 Code","@@"&amp;$I120,"Company=",$D$6,"Transaction Type",AB$4,"Posting Date",AB$3),0))</t>
  </si>
  <si>
    <t>=IF(OR(AD$1="hide",$P120=""),0,ROUND(NL("SUM","G/L Entry","Amount","G/L Account No.",$P120,"Fund No.",$F$22,"Global Dimension 2 Code",$F$12,"Global Dimension 1 Code","@@"&amp;$I120,"Company=",$D$6,"Transaction Type",AD$4,"Posting Date",AD$3),0))</t>
  </si>
  <si>
    <t>=IF(OR(AF$1="hide",$P120=""),0,ROUND(NL("SUM","G/L Entry","Amount","G/L Account No.",$P120,"Fund No.",$F$22,"Global Dimension 2 Code",$F$12,"Global Dimension 1 Code","@@"&amp;$I120,"Company=",$D$6,"Transaction Type",AF$4,"Posting Date",AF$3),0))</t>
  </si>
  <si>
    <t>=IF(OR(AH$1="hide",$P120=""),0,(ROUND(NL("SUM","G/L Entry","Amount","G/L Account No.",$P120,"Fund No.",$F$22,"Global Dimension 2 Code",$F$12,"Global Dimension 1 Code","@@"&amp;$I120,"Company=",$D$6,"Transaction Type",AH$4,"Posting Date",AH$3),0)))</t>
  </si>
  <si>
    <t>=IF(ISERROR(AH120+AJ120),0,(AH120+AJ120))</t>
  </si>
  <si>
    <t>=IF($F$13="yes",0,IF($P120="",0,ROUND(NL("SUM","G/L Budget Entry","Amount","Fund No.",$F$22,"G/L Account No.",$P120,"Company=",$D$6,"Global Dimension 1 Code","@@"&amp;$I120,"Global Dimension 2 Code",$F$12,"Date",$AN$3),0)))</t>
  </si>
  <si>
    <t>=IF($F$13="YES",AF120,AN120)</t>
  </si>
  <si>
    <t>=ABS(SUMIF(V120:AP120,"&gt;0")-SUMIF(V120:AP120,"&lt;0"))</t>
  </si>
  <si>
    <t>=IF(AQ121=0,"Hide","Show")</t>
  </si>
  <si>
    <t>=I120</t>
  </si>
  <si>
    <t>="546016"</t>
  </si>
  <si>
    <t>=IF(I121="","500000 51800",K121&amp;" "&amp;I121)</t>
  </si>
  <si>
    <t>=K121</t>
  </si>
  <si>
    <t>=IF($P121="","",NL("Rows","G/L Account","Name","No.",$P121,"Company=",$D$6))</t>
  </si>
  <si>
    <t>=IF($P121="",0,ROUND(NL("SUM","G/L Entry","Amount","G/L Account No.",$P121,"Fund No.",$F$22,"Global Dimension 2 Code",$F$12,"Global Dimension 1 Code","@@"&amp;$I121,"Company=",$D$6,"Transaction Type",T$4,"Posting Date",T$3),0))</t>
  </si>
  <si>
    <t>=IF(OR(V$1="hide",$P121=""),0,ROUND(NL("SUM","G/L Entry","Amount","G/L Account No.",$P121,"Fund No.",$F$22,"Global Dimension 2 Code",$F$12,"Global Dimension 1 Code","@@"&amp;$I121,"Company=",$D$6,"Transaction Type",V$4,"Posting Date",V$3),0))</t>
  </si>
  <si>
    <t>=IF(OR(X$1="hide",$P121=""),0,ROUND(NL("SUM","G/L Entry","Amount","G/L Account No.",$P121,"Fund No.",$F$22,"Global Dimension 2 Code",$F$12,"Global Dimension 1 Code","@@"&amp;$I121,"Company=",$D$6,"Transaction Type",X$4,"Posting Date",X$3),0))</t>
  </si>
  <si>
    <t>=IF(OR(Z$1="hide",$P121=""),0,ROUND(NL("SUM","G/L Entry","Amount","G/L Account No.",$P121,"Fund No.",$F$22,"Global Dimension 2 Code",$F$12,"Global Dimension 1 Code","@@"&amp;$I121,"Company=",$D$6,"Transaction Type",Z$4,"Posting Date",Z$3),0))</t>
  </si>
  <si>
    <t>=IF(OR(AB$1="hide",$P121=""),0,ROUND(NL("SUM","G/L Entry","Amount","G/L Account No.",$P121,"Fund No.",$F$22,"Global Dimension 2 Code",$F$12,"Global Dimension 1 Code","@@"&amp;$I121,"Company=",$D$6,"Transaction Type",AB$4,"Posting Date",AB$3),0))</t>
  </si>
  <si>
    <t>=IF(OR(AD$1="hide",$P121=""),0,ROUND(NL("SUM","G/L Entry","Amount","G/L Account No.",$P121,"Fund No.",$F$22,"Global Dimension 2 Code",$F$12,"Global Dimension 1 Code","@@"&amp;$I121,"Company=",$D$6,"Transaction Type",AD$4,"Posting Date",AD$3),0))</t>
  </si>
  <si>
    <t>=IF(OR(AF$1="hide",$P121=""),0,ROUND(NL("SUM","G/L Entry","Amount","G/L Account No.",$P121,"Fund No.",$F$22,"Global Dimension 2 Code",$F$12,"Global Dimension 1 Code","@@"&amp;$I121,"Company=",$D$6,"Transaction Type",AF$4,"Posting Date",AF$3),0))</t>
  </si>
  <si>
    <t>=IF(OR(AH$1="hide",$P121=""),0,(ROUND(NL("SUM","G/L Entry","Amount","G/L Account No.",$P121,"Fund No.",$F$22,"Global Dimension 2 Code",$F$12,"Global Dimension 1 Code","@@"&amp;$I121,"Company=",$D$6,"Transaction Type",AH$4,"Posting Date",AH$3),0)))</t>
  </si>
  <si>
    <t>=IF(ISERROR(AH121+AJ121),0,(AH121+AJ121))</t>
  </si>
  <si>
    <t>=IF($F$13="yes",0,IF($P121="",0,ROUND(NL("SUM","G/L Budget Entry","Amount","Fund No.",$F$22,"G/L Account No.",$P121,"Company=",$D$6,"Global Dimension 1 Code","@@"&amp;$I121,"Global Dimension 2 Code",$F$12,"Date",$AN$3),0)))</t>
  </si>
  <si>
    <t>=IF($F$13="YES",AF121,AN121)</t>
  </si>
  <si>
    <t>=ABS(SUMIF(V121:AP121,"&gt;0")-SUMIF(V121:AP121,"&lt;0"))</t>
  </si>
  <si>
    <t>=IF(AQ122=0,"Hide","Show")</t>
  </si>
  <si>
    <t>=I121</t>
  </si>
  <si>
    <t>="546074"</t>
  </si>
  <si>
    <t>=IF(I122="","500000 51800",K122&amp;" "&amp;I122)</t>
  </si>
  <si>
    <t>=K122</t>
  </si>
  <si>
    <t>=IF($P122="","",NL("Rows","G/L Account","Name","No.",$P122,"Company=",$D$6))</t>
  </si>
  <si>
    <t>=IF($P122="",0,ROUND(NL("SUM","G/L Entry","Amount","G/L Account No.",$P122,"Fund No.",$F$22,"Global Dimension 2 Code",$F$12,"Global Dimension 1 Code","@@"&amp;$I122,"Company=",$D$6,"Transaction Type",T$4,"Posting Date",T$3),0))</t>
  </si>
  <si>
    <t>=IF(OR(V$1="hide",$P122=""),0,ROUND(NL("SUM","G/L Entry","Amount","G/L Account No.",$P122,"Fund No.",$F$22,"Global Dimension 2 Code",$F$12,"Global Dimension 1 Code","@@"&amp;$I122,"Company=",$D$6,"Transaction Type",V$4,"Posting Date",V$3),0))</t>
  </si>
  <si>
    <t>=IF(OR(X$1="hide",$P122=""),0,ROUND(NL("SUM","G/L Entry","Amount","G/L Account No.",$P122,"Fund No.",$F$22,"Global Dimension 2 Code",$F$12,"Global Dimension 1 Code","@@"&amp;$I122,"Company=",$D$6,"Transaction Type",X$4,"Posting Date",X$3),0))</t>
  </si>
  <si>
    <t>=IF(OR(Z$1="hide",$P122=""),0,ROUND(NL("SUM","G/L Entry","Amount","G/L Account No.",$P122,"Fund No.",$F$22,"Global Dimension 2 Code",$F$12,"Global Dimension 1 Code","@@"&amp;$I122,"Company=",$D$6,"Transaction Type",Z$4,"Posting Date",Z$3),0))</t>
  </si>
  <si>
    <t>=IF(OR(AB$1="hide",$P122=""),0,ROUND(NL("SUM","G/L Entry","Amount","G/L Account No.",$P122,"Fund No.",$F$22,"Global Dimension 2 Code",$F$12,"Global Dimension 1 Code","@@"&amp;$I122,"Company=",$D$6,"Transaction Type",AB$4,"Posting Date",AB$3),0))</t>
  </si>
  <si>
    <t>=IF(OR(AD$1="hide",$P122=""),0,ROUND(NL("SUM","G/L Entry","Amount","G/L Account No.",$P122,"Fund No.",$F$22,"Global Dimension 2 Code",$F$12,"Global Dimension 1 Code","@@"&amp;$I122,"Company=",$D$6,"Transaction Type",AD$4,"Posting Date",AD$3),0))</t>
  </si>
  <si>
    <t>=IF(OR(AF$1="hide",$P122=""),0,ROUND(NL("SUM","G/L Entry","Amount","G/L Account No.",$P122,"Fund No.",$F$22,"Global Dimension 2 Code",$F$12,"Global Dimension 1 Code","@@"&amp;$I122,"Company=",$D$6,"Transaction Type",AF$4,"Posting Date",AF$3),0))</t>
  </si>
  <si>
    <t>=IF(OR(AH$1="hide",$P122=""),0,(ROUND(NL("SUM","G/L Entry","Amount","G/L Account No.",$P122,"Fund No.",$F$22,"Global Dimension 2 Code",$F$12,"Global Dimension 1 Code","@@"&amp;$I122,"Company=",$D$6,"Transaction Type",AH$4,"Posting Date",AH$3),0)))</t>
  </si>
  <si>
    <t>=IF(ISERROR(AH122+AJ122),0,(AH122+AJ122))</t>
  </si>
  <si>
    <t>=IF($F$13="yes",0,IF($P122="",0,ROUND(NL("SUM","G/L Budget Entry","Amount","Fund No.",$F$22,"G/L Account No.",$P122,"Company=",$D$6,"Global Dimension 1 Code","@@"&amp;$I122,"Global Dimension 2 Code",$F$12,"Date",$AN$3),0)))</t>
  </si>
  <si>
    <t>=IF($F$13="YES",AF122,AN122)</t>
  </si>
  <si>
    <t>=ABS(SUMIF(V122:AP122,"&gt;0")-SUMIF(V122:AP122,"&lt;0"))</t>
  </si>
  <si>
    <t>=IF(AQ123=0,"Hide","Show")</t>
  </si>
  <si>
    <t>=I122</t>
  </si>
  <si>
    <t>="546084"</t>
  </si>
  <si>
    <t>=IF(I123="","500000 51800",K123&amp;" "&amp;I123)</t>
  </si>
  <si>
    <t>=K123</t>
  </si>
  <si>
    <t>=IF($P123="","",NL("Rows","G/L Account","Name","No.",$P123,"Company=",$D$6))</t>
  </si>
  <si>
    <t>=IF($P123="",0,ROUND(NL("SUM","G/L Entry","Amount","G/L Account No.",$P123,"Fund No.",$F$22,"Global Dimension 2 Code",$F$12,"Global Dimension 1 Code","@@"&amp;$I123,"Company=",$D$6,"Transaction Type",T$4,"Posting Date",T$3),0))</t>
  </si>
  <si>
    <t>=IF(OR(V$1="hide",$P123=""),0,ROUND(NL("SUM","G/L Entry","Amount","G/L Account No.",$P123,"Fund No.",$F$22,"Global Dimension 2 Code",$F$12,"Global Dimension 1 Code","@@"&amp;$I123,"Company=",$D$6,"Transaction Type",V$4,"Posting Date",V$3),0))</t>
  </si>
  <si>
    <t>=IF(OR(X$1="hide",$P123=""),0,ROUND(NL("SUM","G/L Entry","Amount","G/L Account No.",$P123,"Fund No.",$F$22,"Global Dimension 2 Code",$F$12,"Global Dimension 1 Code","@@"&amp;$I123,"Company=",$D$6,"Transaction Type",X$4,"Posting Date",X$3),0))</t>
  </si>
  <si>
    <t>=IF(OR(Z$1="hide",$P123=""),0,ROUND(NL("SUM","G/L Entry","Amount","G/L Account No.",$P123,"Fund No.",$F$22,"Global Dimension 2 Code",$F$12,"Global Dimension 1 Code","@@"&amp;$I123,"Company=",$D$6,"Transaction Type",Z$4,"Posting Date",Z$3),0))</t>
  </si>
  <si>
    <t>=IF(OR(AB$1="hide",$P123=""),0,ROUND(NL("SUM","G/L Entry","Amount","G/L Account No.",$P123,"Fund No.",$F$22,"Global Dimension 2 Code",$F$12,"Global Dimension 1 Code","@@"&amp;$I123,"Company=",$D$6,"Transaction Type",AB$4,"Posting Date",AB$3),0))</t>
  </si>
  <si>
    <t>=IF(OR(AD$1="hide",$P123=""),0,ROUND(NL("SUM","G/L Entry","Amount","G/L Account No.",$P123,"Fund No.",$F$22,"Global Dimension 2 Code",$F$12,"Global Dimension 1 Code","@@"&amp;$I123,"Company=",$D$6,"Transaction Type",AD$4,"Posting Date",AD$3),0))</t>
  </si>
  <si>
    <t>=IF(OR(AF$1="hide",$P123=""),0,ROUND(NL("SUM","G/L Entry","Amount","G/L Account No.",$P123,"Fund No.",$F$22,"Global Dimension 2 Code",$F$12,"Global Dimension 1 Code","@@"&amp;$I123,"Company=",$D$6,"Transaction Type",AF$4,"Posting Date",AF$3),0))</t>
  </si>
  <si>
    <t>=IF(OR(AH$1="hide",$P123=""),0,(ROUND(NL("SUM","G/L Entry","Amount","G/L Account No.",$P123,"Fund No.",$F$22,"Global Dimension 2 Code",$F$12,"Global Dimension 1 Code","@@"&amp;$I123,"Company=",$D$6,"Transaction Type",AH$4,"Posting Date",AH$3),0)))</t>
  </si>
  <si>
    <t>=IF(ISERROR(AH123+AJ123),0,(AH123+AJ123))</t>
  </si>
  <si>
    <t>=IF($F$13="yes",0,IF($P123="",0,ROUND(NL("SUM","G/L Budget Entry","Amount","Fund No.",$F$22,"G/L Account No.",$P123,"Company=",$D$6,"Global Dimension 1 Code","@@"&amp;$I123,"Global Dimension 2 Code",$F$12,"Date",$AN$3),0)))</t>
  </si>
  <si>
    <t>=IF($F$13="YES",AF123,AN123)</t>
  </si>
  <si>
    <t>=ABS(SUMIF(V123:AP123,"&gt;0")-SUMIF(V123:AP123,"&lt;0"))</t>
  </si>
  <si>
    <t>=IF(AQ124=0,"Hide","Show")</t>
  </si>
  <si>
    <t>=I123</t>
  </si>
  <si>
    <t>=IF(I124="","500000 51800",K124&amp;" "&amp;I124)</t>
  </si>
  <si>
    <t>=K124</t>
  </si>
  <si>
    <t>=IF($P124="","",NL("Rows","G/L Account","Name","No.",$P124,"Company=",$D$6))</t>
  </si>
  <si>
    <t>=IF($P124="",0,ROUND(NL("SUM","G/L Entry","Amount","G/L Account No.",$P124,"Fund No.",$F$22,"Global Dimension 2 Code",$F$12,"Global Dimension 1 Code","@@"&amp;$I124,"Company=",$D$6,"Transaction Type",T$4,"Posting Date",T$3),0))</t>
  </si>
  <si>
    <t>=IF(OR(V$1="hide",$P124=""),0,ROUND(NL("SUM","G/L Entry","Amount","G/L Account No.",$P124,"Fund No.",$F$22,"Global Dimension 2 Code",$F$12,"Global Dimension 1 Code","@@"&amp;$I124,"Company=",$D$6,"Transaction Type",V$4,"Posting Date",V$3),0))</t>
  </si>
  <si>
    <t>=IF(OR(X$1="hide",$P124=""),0,ROUND(NL("SUM","G/L Entry","Amount","G/L Account No.",$P124,"Fund No.",$F$22,"Global Dimension 2 Code",$F$12,"Global Dimension 1 Code","@@"&amp;$I124,"Company=",$D$6,"Transaction Type",X$4,"Posting Date",X$3),0))</t>
  </si>
  <si>
    <t>=IF(OR(Z$1="hide",$P124=""),0,ROUND(NL("SUM","G/L Entry","Amount","G/L Account No.",$P124,"Fund No.",$F$22,"Global Dimension 2 Code",$F$12,"Global Dimension 1 Code","@@"&amp;$I124,"Company=",$D$6,"Transaction Type",Z$4,"Posting Date",Z$3),0))</t>
  </si>
  <si>
    <t>=IF(OR(AB$1="hide",$P124=""),0,ROUND(NL("SUM","G/L Entry","Amount","G/L Account No.",$P124,"Fund No.",$F$22,"Global Dimension 2 Code",$F$12,"Global Dimension 1 Code","@@"&amp;$I124,"Company=",$D$6,"Transaction Type",AB$4,"Posting Date",AB$3),0))</t>
  </si>
  <si>
    <t>=IF(OR(AD$1="hide",$P124=""),0,ROUND(NL("SUM","G/L Entry","Amount","G/L Account No.",$P124,"Fund No.",$F$22,"Global Dimension 2 Code",$F$12,"Global Dimension 1 Code","@@"&amp;$I124,"Company=",$D$6,"Transaction Type",AD$4,"Posting Date",AD$3),0))</t>
  </si>
  <si>
    <t>=IF(OR(AF$1="hide",$P124=""),0,ROUND(NL("SUM","G/L Entry","Amount","G/L Account No.",$P124,"Fund No.",$F$22,"Global Dimension 2 Code",$F$12,"Global Dimension 1 Code","@@"&amp;$I124,"Company=",$D$6,"Transaction Type",AF$4,"Posting Date",AF$3),0))</t>
  </si>
  <si>
    <t>=IF(OR(AH$1="hide",$P124=""),0,(ROUND(NL("SUM","G/L Entry","Amount","G/L Account No.",$P124,"Fund No.",$F$22,"Global Dimension 2 Code",$F$12,"Global Dimension 1 Code","@@"&amp;$I124,"Company=",$D$6,"Transaction Type",AH$4,"Posting Date",AH$3),0)))</t>
  </si>
  <si>
    <t>=IF(ISERROR(AH124+AJ124),0,(AH124+AJ124))</t>
  </si>
  <si>
    <t>=IF($F$13="yes",0,IF($P124="",0,ROUND(NL("SUM","G/L Budget Entry","Amount","Fund No.",$F$22,"G/L Account No.",$P124,"Company=",$D$6,"Global Dimension 1 Code","@@"&amp;$I124,"Global Dimension 2 Code",$F$12,"Date",$AN$3),0)))</t>
  </si>
  <si>
    <t>=IF($F$13="YES",AF124,AN124)</t>
  </si>
  <si>
    <t>=ABS(SUMIF(V124:AP124,"&gt;0")-SUMIF(V124:AP124,"&lt;0"))</t>
  </si>
  <si>
    <t>=IF(AQ125=0,"Hide","Show")</t>
  </si>
  <si>
    <t>=I124</t>
  </si>
  <si>
    <t>=IF(I125="","500000 51800",K125&amp;" "&amp;I125)</t>
  </si>
  <si>
    <t>=K125</t>
  </si>
  <si>
    <t>=IF($P125="","",NL("Rows","G/L Account","Name","No.",$P125,"Company=",$D$6))</t>
  </si>
  <si>
    <t>=IF($P125="",0,ROUND(NL("SUM","G/L Entry","Amount","G/L Account No.",$P125,"Fund No.",$F$22,"Global Dimension 2 Code",$F$12,"Global Dimension 1 Code","@@"&amp;$I125,"Company=",$D$6,"Transaction Type",T$4,"Posting Date",T$3),0))</t>
  </si>
  <si>
    <t>=IF(OR(V$1="hide",$P125=""),0,ROUND(NL("SUM","G/L Entry","Amount","G/L Account No.",$P125,"Fund No.",$F$22,"Global Dimension 2 Code",$F$12,"Global Dimension 1 Code","@@"&amp;$I125,"Company=",$D$6,"Transaction Type",V$4,"Posting Date",V$3),0))</t>
  </si>
  <si>
    <t>=IF(OR(X$1="hide",$P125=""),0,ROUND(NL("SUM","G/L Entry","Amount","G/L Account No.",$P125,"Fund No.",$F$22,"Global Dimension 2 Code",$F$12,"Global Dimension 1 Code","@@"&amp;$I125,"Company=",$D$6,"Transaction Type",X$4,"Posting Date",X$3),0))</t>
  </si>
  <si>
    <t>=IF(OR(Z$1="hide",$P125=""),0,ROUND(NL("SUM","G/L Entry","Amount","G/L Account No.",$P125,"Fund No.",$F$22,"Global Dimension 2 Code",$F$12,"Global Dimension 1 Code","@@"&amp;$I125,"Company=",$D$6,"Transaction Type",Z$4,"Posting Date",Z$3),0))</t>
  </si>
  <si>
    <t>=IF(OR(AB$1="hide",$P125=""),0,ROUND(NL("SUM","G/L Entry","Amount","G/L Account No.",$P125,"Fund No.",$F$22,"Global Dimension 2 Code",$F$12,"Global Dimension 1 Code","@@"&amp;$I125,"Company=",$D$6,"Transaction Type",AB$4,"Posting Date",AB$3),0))</t>
  </si>
  <si>
    <t>=IF(OR(AD$1="hide",$P125=""),0,ROUND(NL("SUM","G/L Entry","Amount","G/L Account No.",$P125,"Fund No.",$F$22,"Global Dimension 2 Code",$F$12,"Global Dimension 1 Code","@@"&amp;$I125,"Company=",$D$6,"Transaction Type",AD$4,"Posting Date",AD$3),0))</t>
  </si>
  <si>
    <t>=IF(OR(AF$1="hide",$P125=""),0,ROUND(NL("SUM","G/L Entry","Amount","G/L Account No.",$P125,"Fund No.",$F$22,"Global Dimension 2 Code",$F$12,"Global Dimension 1 Code","@@"&amp;$I125,"Company=",$D$6,"Transaction Type",AF$4,"Posting Date",AF$3),0))</t>
  </si>
  <si>
    <t>=IF(OR(AH$1="hide",$P125=""),0,(ROUND(NL("SUM","G/L Entry","Amount","G/L Account No.",$P125,"Fund No.",$F$22,"Global Dimension 2 Code",$F$12,"Global Dimension 1 Code","@@"&amp;$I125,"Company=",$D$6,"Transaction Type",AH$4,"Posting Date",AH$3),0)))</t>
  </si>
  <si>
    <t>=IF(ISERROR(AH125+AJ125),0,(AH125+AJ125))</t>
  </si>
  <si>
    <t>=IF($F$13="yes",0,IF($P125="",0,ROUND(NL("SUM","G/L Budget Entry","Amount","Fund No.",$F$22,"G/L Account No.",$P125,"Company=",$D$6,"Global Dimension 1 Code","@@"&amp;$I125,"Global Dimension 2 Code",$F$12,"Date",$AN$3),0)))</t>
  </si>
  <si>
    <t>=IF($F$13="YES",AF125,AN125)</t>
  </si>
  <si>
    <t>=ABS(SUMIF(V125:AP125,"&gt;0")-SUMIF(V125:AP125,"&lt;0"))</t>
  </si>
  <si>
    <t>=IF(AQ126=0,"Hide","Show")</t>
  </si>
  <si>
    <t>=I125</t>
  </si>
  <si>
    <t>=IF(I126="","500000 51800",K126&amp;" "&amp;I126)</t>
  </si>
  <si>
    <t>=K126</t>
  </si>
  <si>
    <t>=IF($P126="","",NL("Rows","G/L Account","Name","No.",$P126,"Company=",$D$6))</t>
  </si>
  <si>
    <t>=IF($P126="",0,ROUND(NL("SUM","G/L Entry","Amount","G/L Account No.",$P126,"Fund No.",$F$22,"Global Dimension 2 Code",$F$12,"Global Dimension 1 Code","@@"&amp;$I126,"Company=",$D$6,"Transaction Type",T$4,"Posting Date",T$3),0))</t>
  </si>
  <si>
    <t>=IF(OR(V$1="hide",$P126=""),0,ROUND(NL("SUM","G/L Entry","Amount","G/L Account No.",$P126,"Fund No.",$F$22,"Global Dimension 2 Code",$F$12,"Global Dimension 1 Code","@@"&amp;$I126,"Company=",$D$6,"Transaction Type",V$4,"Posting Date",V$3),0))</t>
  </si>
  <si>
    <t>=IF(OR(X$1="hide",$P126=""),0,ROUND(NL("SUM","G/L Entry","Amount","G/L Account No.",$P126,"Fund No.",$F$22,"Global Dimension 2 Code",$F$12,"Global Dimension 1 Code","@@"&amp;$I126,"Company=",$D$6,"Transaction Type",X$4,"Posting Date",X$3),0))</t>
  </si>
  <si>
    <t>=IF(OR(Z$1="hide",$P126=""),0,ROUND(NL("SUM","G/L Entry","Amount","G/L Account No.",$P126,"Fund No.",$F$22,"Global Dimension 2 Code",$F$12,"Global Dimension 1 Code","@@"&amp;$I126,"Company=",$D$6,"Transaction Type",Z$4,"Posting Date",Z$3),0))</t>
  </si>
  <si>
    <t>=IF(OR(AB$1="hide",$P126=""),0,ROUND(NL("SUM","G/L Entry","Amount","G/L Account No.",$P126,"Fund No.",$F$22,"Global Dimension 2 Code",$F$12,"Global Dimension 1 Code","@@"&amp;$I126,"Company=",$D$6,"Transaction Type",AB$4,"Posting Date",AB$3),0))</t>
  </si>
  <si>
    <t>=IF(OR(AD$1="hide",$P126=""),0,ROUND(NL("SUM","G/L Entry","Amount","G/L Account No.",$P126,"Fund No.",$F$22,"Global Dimension 2 Code",$F$12,"Global Dimension 1 Code","@@"&amp;$I126,"Company=",$D$6,"Transaction Type",AD$4,"Posting Date",AD$3),0))</t>
  </si>
  <si>
    <t>=IF(OR(AF$1="hide",$P126=""),0,ROUND(NL("SUM","G/L Entry","Amount","G/L Account No.",$P126,"Fund No.",$F$22,"Global Dimension 2 Code",$F$12,"Global Dimension 1 Code","@@"&amp;$I126,"Company=",$D$6,"Transaction Type",AF$4,"Posting Date",AF$3),0))</t>
  </si>
  <si>
    <t>=IF(OR(AH$1="hide",$P126=""),0,(ROUND(NL("SUM","G/L Entry","Amount","G/L Account No.",$P126,"Fund No.",$F$22,"Global Dimension 2 Code",$F$12,"Global Dimension 1 Code","@@"&amp;$I126,"Company=",$D$6,"Transaction Type",AH$4,"Posting Date",AH$3),0)))</t>
  </si>
  <si>
    <t>=IF(ISERROR(AH126+AJ126),0,(AH126+AJ126))</t>
  </si>
  <si>
    <t>=IF($F$13="yes",0,IF($P126="",0,ROUND(NL("SUM","G/L Budget Entry","Amount","Fund No.",$F$22,"G/L Account No.",$P126,"Company=",$D$6,"Global Dimension 1 Code","@@"&amp;$I126,"Global Dimension 2 Code",$F$12,"Date",$AN$3),0)))</t>
  </si>
  <si>
    <t>=IF($F$13="YES",AF126,AN126)</t>
  </si>
  <si>
    <t>=ABS(SUMIF(V126:AP126,"&gt;0")-SUMIF(V126:AP126,"&lt;0"))</t>
  </si>
  <si>
    <t>=IF(AQ127=0,"Hide","Show")</t>
  </si>
  <si>
    <t>=I126</t>
  </si>
  <si>
    <t>="564002"</t>
  </si>
  <si>
    <t>=IF(I127="","500000 51800",K127&amp;" "&amp;I127)</t>
  </si>
  <si>
    <t>=K127</t>
  </si>
  <si>
    <t>=IF($P127="","",NL("Rows","G/L Account","Name","No.",$P127,"Company=",$D$6))</t>
  </si>
  <si>
    <t>=IF($P127="",0,ROUND(NL("SUM","G/L Entry","Amount","G/L Account No.",$P127,"Fund No.",$F$22,"Global Dimension 2 Code",$F$12,"Global Dimension 1 Code","@@"&amp;$I127,"Company=",$D$6,"Transaction Type",T$4,"Posting Date",T$3),0))</t>
  </si>
  <si>
    <t>=IF(OR(V$1="hide",$P127=""),0,ROUND(NL("SUM","G/L Entry","Amount","G/L Account No.",$P127,"Fund No.",$F$22,"Global Dimension 2 Code",$F$12,"Global Dimension 1 Code","@@"&amp;$I127,"Company=",$D$6,"Transaction Type",V$4,"Posting Date",V$3),0))</t>
  </si>
  <si>
    <t>=IF(OR(X$1="hide",$P127=""),0,ROUND(NL("SUM","G/L Entry","Amount","G/L Account No.",$P127,"Fund No.",$F$22,"Global Dimension 2 Code",$F$12,"Global Dimension 1 Code","@@"&amp;$I127,"Company=",$D$6,"Transaction Type",X$4,"Posting Date",X$3),0))</t>
  </si>
  <si>
    <t>=IF(OR(Z$1="hide",$P127=""),0,ROUND(NL("SUM","G/L Entry","Amount","G/L Account No.",$P127,"Fund No.",$F$22,"Global Dimension 2 Code",$F$12,"Global Dimension 1 Code","@@"&amp;$I127,"Company=",$D$6,"Transaction Type",Z$4,"Posting Date",Z$3),0))</t>
  </si>
  <si>
    <t>=IF(OR(AB$1="hide",$P127=""),0,ROUND(NL("SUM","G/L Entry","Amount","G/L Account No.",$P127,"Fund No.",$F$22,"Global Dimension 2 Code",$F$12,"Global Dimension 1 Code","@@"&amp;$I127,"Company=",$D$6,"Transaction Type",AB$4,"Posting Date",AB$3),0))</t>
  </si>
  <si>
    <t>=IF(OR(AD$1="hide",$P127=""),0,ROUND(NL("SUM","G/L Entry","Amount","G/L Account No.",$P127,"Fund No.",$F$22,"Global Dimension 2 Code",$F$12,"Global Dimension 1 Code","@@"&amp;$I127,"Company=",$D$6,"Transaction Type",AD$4,"Posting Date",AD$3),0))</t>
  </si>
  <si>
    <t>=IF(OR(AF$1="hide",$P127=""),0,ROUND(NL("SUM","G/L Entry","Amount","G/L Account No.",$P127,"Fund No.",$F$22,"Global Dimension 2 Code",$F$12,"Global Dimension 1 Code","@@"&amp;$I127,"Company=",$D$6,"Transaction Type",AF$4,"Posting Date",AF$3),0))</t>
  </si>
  <si>
    <t>=IF(OR(AH$1="hide",$P127=""),0,(ROUND(NL("SUM","G/L Entry","Amount","G/L Account No.",$P127,"Fund No.",$F$22,"Global Dimension 2 Code",$F$12,"Global Dimension 1 Code","@@"&amp;$I127,"Company=",$D$6,"Transaction Type",AH$4,"Posting Date",AH$3),0)))</t>
  </si>
  <si>
    <t>=IF(ISERROR(AH127+AJ127),0,(AH127+AJ127))</t>
  </si>
  <si>
    <t>=IF($F$13="yes",0,IF($P127="",0,ROUND(NL("SUM","G/L Budget Entry","Amount","Fund No.",$F$22,"G/L Account No.",$P127,"Company=",$D$6,"Global Dimension 1 Code","@@"&amp;$I127,"Global Dimension 2 Code",$F$12,"Date",$AN$3),0)))</t>
  </si>
  <si>
    <t>=IF($F$13="YES",AF127,AN127)</t>
  </si>
  <si>
    <t>=ABS(SUMIF(V127:AP127,"&gt;0")-SUMIF(V127:AP127,"&lt;0"))</t>
  </si>
  <si>
    <t>=I128</t>
  </si>
  <si>
    <t>="Total " &amp;($R114)</t>
  </si>
  <si>
    <t>=SUM(T115:T128)</t>
  </si>
  <si>
    <t>=SUM(V115:V128)</t>
  </si>
  <si>
    <t>=SUM(X115:X128)</t>
  </si>
  <si>
    <t>=SUM(Z115:Z128)</t>
  </si>
  <si>
    <t>=SUM(AB115:AB128)</t>
  </si>
  <si>
    <t>=SUM(AD115:AD128)</t>
  </si>
  <si>
    <t>=SUM(AF115:AF128)</t>
  </si>
  <si>
    <t>=SUM(AH115:AH128)</t>
  </si>
  <si>
    <t>=SUM(AJ115:AJ128)</t>
  </si>
  <si>
    <t>=SUM(AL115:AL128)</t>
  </si>
  <si>
    <t>=SUM(AN115:AN128)</t>
  </si>
  <si>
    <t>=SUM(AP115:AP128)</t>
  </si>
  <si>
    <t>=ABS(SUMIF(V129:AP129,"&gt;0")-SUMIF(V129:AP129,"&lt;0"))</t>
  </si>
  <si>
    <t>=SUM(T114:T128)</t>
  </si>
  <si>
    <t>=SUM(V114:V128)</t>
  </si>
  <si>
    <t>=SUM(X114:X128)</t>
  </si>
  <si>
    <t>=SUM(Z114:Z128)</t>
  </si>
  <si>
    <t>=SUM(AB114:AB128)</t>
  </si>
  <si>
    <t>=SUM(AD114:AD128)</t>
  </si>
  <si>
    <t>=SUM(AF114:AF128)</t>
  </si>
  <si>
    <t>=SUM(AH114:AH128)</t>
  </si>
  <si>
    <t>=SUM(AJ114:AJ128)</t>
  </si>
  <si>
    <t>=SUM(AL114:AL128)</t>
  </si>
  <si>
    <t>=SUM(AN114:AN128)</t>
  </si>
  <si>
    <t>=SUM(AP114:AP128)</t>
  </si>
  <si>
    <t>=I129</t>
  </si>
  <si>
    <t>="53902"</t>
  </si>
  <si>
    <t>=IF(AQ154=0,"Hide","Show")</t>
  </si>
  <si>
    <t>=I131</t>
  </si>
  <si>
    <t>=IF($I132="","",(NL("Rows","Dimension Value","Name","Dimension Code",$H131,"Code",$I132,"Company=",$D$6)))</t>
  </si>
  <si>
    <t>=IF(AQ133=0,"Hide","Show")</t>
  </si>
  <si>
    <t>=I132</t>
  </si>
  <si>
    <t>=NL("Rows", NL("Union", NL("allunique","G/L Entry",$E$20,$E$20,$E$105,$E$22,$F$22,$E$21,"@@"&amp;I133,"Company=",$D$6,"Posting Date",$J$5),NL("allunique","G/L Budget Entry",$E$20,$E$20,$E$105,$E$24,$F$22,$E$21,"@@"&amp;I133,"Company=",$D$6,"Date",$J$6)))</t>
  </si>
  <si>
    <t>=IF(I133="","500000 51800",K133&amp;" "&amp;I133)</t>
  </si>
  <si>
    <t>=K133</t>
  </si>
  <si>
    <t>=IF($P133="","",NL("Rows","G/L Account","Name","No.",$P133,"Company=",$D$6))</t>
  </si>
  <si>
    <t>=IF($P133="",0,ROUND(NL("SUM","G/L Entry","Amount","G/L Account No.",$P133,"Fund No.",$F$22,"Global Dimension 2 Code",$F$12,"Global Dimension 1 Code","@@"&amp;$I133,"Company=",$D$6,"Transaction Type",T$4,"Posting Date",T$3),0))</t>
  </si>
  <si>
    <t>=IF(OR(V$1="hide",$P133=""),0,ROUND(NL("SUM","G/L Entry","Amount","G/L Account No.",$P133,"Fund No.",$F$22,"Global Dimension 2 Code",$F$12,"Global Dimension 1 Code","@@"&amp;$I133,"Company=",$D$6,"Transaction Type",V$4,"Posting Date",V$3),0))</t>
  </si>
  <si>
    <t>=IF(OR(X$1="hide",$P133=""),0,ROUND(NL("SUM","G/L Entry","Amount","G/L Account No.",$P133,"Fund No.",$F$22,"Global Dimension 2 Code",$F$12,"Global Dimension 1 Code","@@"&amp;$I133,"Company=",$D$6,"Transaction Type",X$4,"Posting Date",X$3),0))</t>
  </si>
  <si>
    <t>=IF(OR(Z$1="hide",$P133=""),0,ROUND(NL("SUM","G/L Entry","Amount","G/L Account No.",$P133,"Fund No.",$F$22,"Global Dimension 2 Code",$F$12,"Global Dimension 1 Code","@@"&amp;$I133,"Company=",$D$6,"Transaction Type",Z$4,"Posting Date",Z$3),0))</t>
  </si>
  <si>
    <t>=IF(OR(AB$1="hide",$P133=""),0,ROUND(NL("SUM","G/L Entry","Amount","G/L Account No.",$P133,"Fund No.",$F$22,"Global Dimension 2 Code",$F$12,"Global Dimension 1 Code","@@"&amp;$I133,"Company=",$D$6,"Transaction Type",AB$4,"Posting Date",AB$3),0))</t>
  </si>
  <si>
    <t>=IF(OR(AD$1="hide",$P133=""),0,ROUND(NL("SUM","G/L Entry","Amount","G/L Account No.",$P133,"Fund No.",$F$22,"Global Dimension 2 Code",$F$12,"Global Dimension 1 Code","@@"&amp;$I133,"Company=",$D$6,"Transaction Type",AD$4,"Posting Date",AD$3),0))</t>
  </si>
  <si>
    <t>=IF(OR(AF$1="hide",$P133=""),0,ROUND(NL("SUM","G/L Entry","Amount","G/L Account No.",$P133,"Fund No.",$F$22,"Global Dimension 2 Code",$F$12,"Global Dimension 1 Code","@@"&amp;$I133,"Company=",$D$6,"Transaction Type",AF$4,"Posting Date",AF$3),0))</t>
  </si>
  <si>
    <t>=IF(OR(AH$1="hide",$P133=""),0,(ROUND(NL("SUM","G/L Entry","Amount","G/L Account No.",$P133,"Fund No.",$F$22,"Global Dimension 2 Code",$F$12,"Global Dimension 1 Code","@@"&amp;$I133,"Company=",$D$6,"Transaction Type",AH$4,"Posting Date",AH$3),0)))</t>
  </si>
  <si>
    <t>=IF(ISERROR(AH133+AJ133),0,(AH133+AJ133))</t>
  </si>
  <si>
    <t>=IF($F$13="yes",0,IF($P133="",0,ROUND(NL("SUM","G/L Budget Entry","Amount","Fund No.",$F$22,"G/L Account No.",$P133,"Company=",$D$6,"Global Dimension 1 Code","@@"&amp;$I133,"Global Dimension 2 Code",$F$12,"Date",$AN$3),0)))</t>
  </si>
  <si>
    <t>=IF($F$13="YES",AF133,AN133)</t>
  </si>
  <si>
    <t>=ABS(SUMIF(V133:AP133,"&gt;0")-SUMIF(V133:AP133,"&lt;0"))</t>
  </si>
  <si>
    <t>=IF(AQ134=0,"Hide","Show")</t>
  </si>
  <si>
    <t>=I133</t>
  </si>
  <si>
    <t>="534116"</t>
  </si>
  <si>
    <t>=IF(I134="","500000 51800",K134&amp;" "&amp;I134)</t>
  </si>
  <si>
    <t>=K134</t>
  </si>
  <si>
    <t>=IF($P134="","",NL("Rows","G/L Account","Name","No.",$P134,"Company=",$D$6))</t>
  </si>
  <si>
    <t>=IF($P134="",0,ROUND(NL("SUM","G/L Entry","Amount","G/L Account No.",$P134,"Fund No.",$F$22,"Global Dimension 2 Code",$F$12,"Global Dimension 1 Code","@@"&amp;$I134,"Company=",$D$6,"Transaction Type",T$4,"Posting Date",T$3),0))</t>
  </si>
  <si>
    <t>=IF(OR(V$1="hide",$P134=""),0,ROUND(NL("SUM","G/L Entry","Amount","G/L Account No.",$P134,"Fund No.",$F$22,"Global Dimension 2 Code",$F$12,"Global Dimension 1 Code","@@"&amp;$I134,"Company=",$D$6,"Transaction Type",V$4,"Posting Date",V$3),0))</t>
  </si>
  <si>
    <t>=IF(OR(X$1="hide",$P134=""),0,ROUND(NL("SUM","G/L Entry","Amount","G/L Account No.",$P134,"Fund No.",$F$22,"Global Dimension 2 Code",$F$12,"Global Dimension 1 Code","@@"&amp;$I134,"Company=",$D$6,"Transaction Type",X$4,"Posting Date",X$3),0))</t>
  </si>
  <si>
    <t>=IF(OR(Z$1="hide",$P134=""),0,ROUND(NL("SUM","G/L Entry","Amount","G/L Account No.",$P134,"Fund No.",$F$22,"Global Dimension 2 Code",$F$12,"Global Dimension 1 Code","@@"&amp;$I134,"Company=",$D$6,"Transaction Type",Z$4,"Posting Date",Z$3),0))</t>
  </si>
  <si>
    <t>=IF(OR(AB$1="hide",$P134=""),0,ROUND(NL("SUM","G/L Entry","Amount","G/L Account No.",$P134,"Fund No.",$F$22,"Global Dimension 2 Code",$F$12,"Global Dimension 1 Code","@@"&amp;$I134,"Company=",$D$6,"Transaction Type",AB$4,"Posting Date",AB$3),0))</t>
  </si>
  <si>
    <t>=IF(OR(AD$1="hide",$P134=""),0,ROUND(NL("SUM","G/L Entry","Amount","G/L Account No.",$P134,"Fund No.",$F$22,"Global Dimension 2 Code",$F$12,"Global Dimension 1 Code","@@"&amp;$I134,"Company=",$D$6,"Transaction Type",AD$4,"Posting Date",AD$3),0))</t>
  </si>
  <si>
    <t>=IF(OR(AF$1="hide",$P134=""),0,ROUND(NL("SUM","G/L Entry","Amount","G/L Account No.",$P134,"Fund No.",$F$22,"Global Dimension 2 Code",$F$12,"Global Dimension 1 Code","@@"&amp;$I134,"Company=",$D$6,"Transaction Type",AF$4,"Posting Date",AF$3),0))</t>
  </si>
  <si>
    <t>=IF(OR(AH$1="hide",$P134=""),0,(ROUND(NL("SUM","G/L Entry","Amount","G/L Account No.",$P134,"Fund No.",$F$22,"Global Dimension 2 Code",$F$12,"Global Dimension 1 Code","@@"&amp;$I134,"Company=",$D$6,"Transaction Type",AH$4,"Posting Date",AH$3),0)))</t>
  </si>
  <si>
    <t>=IF(ISERROR(AH134+AJ134),0,(AH134+AJ134))</t>
  </si>
  <si>
    <t>=IF($F$13="yes",0,IF($P134="",0,ROUND(NL("SUM","G/L Budget Entry","Amount","Fund No.",$F$22,"G/L Account No.",$P134,"Company=",$D$6,"Global Dimension 1 Code","@@"&amp;$I134,"Global Dimension 2 Code",$F$12,"Date",$AN$3),0)))</t>
  </si>
  <si>
    <t>=IF($F$13="YES",AF134,AN134)</t>
  </si>
  <si>
    <t>=ABS(SUMIF(V134:AP134,"&gt;0")-SUMIF(V134:AP134,"&lt;0"))</t>
  </si>
  <si>
    <t>=IF(AQ135=0,"Hide","Show")</t>
  </si>
  <si>
    <t>=I134</t>
  </si>
  <si>
    <t>="534148"</t>
  </si>
  <si>
    <t>=IF(I135="","500000 51800",K135&amp;" "&amp;I135)</t>
  </si>
  <si>
    <t>=K135</t>
  </si>
  <si>
    <t>=IF($P135="","",NL("Rows","G/L Account","Name","No.",$P135,"Company=",$D$6))</t>
  </si>
  <si>
    <t>=IF($P135="",0,ROUND(NL("SUM","G/L Entry","Amount","G/L Account No.",$P135,"Fund No.",$F$22,"Global Dimension 2 Code",$F$12,"Global Dimension 1 Code","@@"&amp;$I135,"Company=",$D$6,"Transaction Type",T$4,"Posting Date",T$3),0))</t>
  </si>
  <si>
    <t>=IF(OR(V$1="hide",$P135=""),0,ROUND(NL("SUM","G/L Entry","Amount","G/L Account No.",$P135,"Fund No.",$F$22,"Global Dimension 2 Code",$F$12,"Global Dimension 1 Code","@@"&amp;$I135,"Company=",$D$6,"Transaction Type",V$4,"Posting Date",V$3),0))</t>
  </si>
  <si>
    <t>=IF(OR(X$1="hide",$P135=""),0,ROUND(NL("SUM","G/L Entry","Amount","G/L Account No.",$P135,"Fund No.",$F$22,"Global Dimension 2 Code",$F$12,"Global Dimension 1 Code","@@"&amp;$I135,"Company=",$D$6,"Transaction Type",X$4,"Posting Date",X$3),0))</t>
  </si>
  <si>
    <t>=IF(OR(Z$1="hide",$P135=""),0,ROUND(NL("SUM","G/L Entry","Amount","G/L Account No.",$P135,"Fund No.",$F$22,"Global Dimension 2 Code",$F$12,"Global Dimension 1 Code","@@"&amp;$I135,"Company=",$D$6,"Transaction Type",Z$4,"Posting Date",Z$3),0))</t>
  </si>
  <si>
    <t>=IF(OR(AB$1="hide",$P135=""),0,ROUND(NL("SUM","G/L Entry","Amount","G/L Account No.",$P135,"Fund No.",$F$22,"Global Dimension 2 Code",$F$12,"Global Dimension 1 Code","@@"&amp;$I135,"Company=",$D$6,"Transaction Type",AB$4,"Posting Date",AB$3),0))</t>
  </si>
  <si>
    <t>=IF(OR(AD$1="hide",$P135=""),0,ROUND(NL("SUM","G/L Entry","Amount","G/L Account No.",$P135,"Fund No.",$F$22,"Global Dimension 2 Code",$F$12,"Global Dimension 1 Code","@@"&amp;$I135,"Company=",$D$6,"Transaction Type",AD$4,"Posting Date",AD$3),0))</t>
  </si>
  <si>
    <t>=IF(OR(AF$1="hide",$P135=""),0,ROUND(NL("SUM","G/L Entry","Amount","G/L Account No.",$P135,"Fund No.",$F$22,"Global Dimension 2 Code",$F$12,"Global Dimension 1 Code","@@"&amp;$I135,"Company=",$D$6,"Transaction Type",AF$4,"Posting Date",AF$3),0))</t>
  </si>
  <si>
    <t>=IF(OR(AH$1="hide",$P135=""),0,(ROUND(NL("SUM","G/L Entry","Amount","G/L Account No.",$P135,"Fund No.",$F$22,"Global Dimension 2 Code",$F$12,"Global Dimension 1 Code","@@"&amp;$I135,"Company=",$D$6,"Transaction Type",AH$4,"Posting Date",AH$3),0)))</t>
  </si>
  <si>
    <t>=IF(ISERROR(AH135+AJ135),0,(AH135+AJ135))</t>
  </si>
  <si>
    <t>=IF($F$13="yes",0,IF($P135="",0,ROUND(NL("SUM","G/L Budget Entry","Amount","Fund No.",$F$22,"G/L Account No.",$P135,"Company=",$D$6,"Global Dimension 1 Code","@@"&amp;$I135,"Global Dimension 2 Code",$F$12,"Date",$AN$3),0)))</t>
  </si>
  <si>
    <t>=IF($F$13="YES",AF135,AN135)</t>
  </si>
  <si>
    <t>=ABS(SUMIF(V135:AP135,"&gt;0")-SUMIF(V135:AP135,"&lt;0"))</t>
  </si>
  <si>
    <t>=IF(AQ136=0,"Hide","Show")</t>
  </si>
  <si>
    <t>=I135</t>
  </si>
  <si>
    <t>="534150"</t>
  </si>
  <si>
    <t>=IF(I136="","500000 51800",K136&amp;" "&amp;I136)</t>
  </si>
  <si>
    <t>=K136</t>
  </si>
  <si>
    <t>=IF($P136="","",NL("Rows","G/L Account","Name","No.",$P136,"Company=",$D$6))</t>
  </si>
  <si>
    <t>=IF($P136="",0,ROUND(NL("SUM","G/L Entry","Amount","G/L Account No.",$P136,"Fund No.",$F$22,"Global Dimension 2 Code",$F$12,"Global Dimension 1 Code","@@"&amp;$I136,"Company=",$D$6,"Transaction Type",T$4,"Posting Date",T$3),0))</t>
  </si>
  <si>
    <t>=IF(OR(V$1="hide",$P136=""),0,ROUND(NL("SUM","G/L Entry","Amount","G/L Account No.",$P136,"Fund No.",$F$22,"Global Dimension 2 Code",$F$12,"Global Dimension 1 Code","@@"&amp;$I136,"Company=",$D$6,"Transaction Type",V$4,"Posting Date",V$3),0))</t>
  </si>
  <si>
    <t>=IF(OR(X$1="hide",$P136=""),0,ROUND(NL("SUM","G/L Entry","Amount","G/L Account No.",$P136,"Fund No.",$F$22,"Global Dimension 2 Code",$F$12,"Global Dimension 1 Code","@@"&amp;$I136,"Company=",$D$6,"Transaction Type",X$4,"Posting Date",X$3),0))</t>
  </si>
  <si>
    <t>=IF(OR(Z$1="hide",$P136=""),0,ROUND(NL("SUM","G/L Entry","Amount","G/L Account No.",$P136,"Fund No.",$F$22,"Global Dimension 2 Code",$F$12,"Global Dimension 1 Code","@@"&amp;$I136,"Company=",$D$6,"Transaction Type",Z$4,"Posting Date",Z$3),0))</t>
  </si>
  <si>
    <t>=IF(OR(AB$1="hide",$P136=""),0,ROUND(NL("SUM","G/L Entry","Amount","G/L Account No.",$P136,"Fund No.",$F$22,"Global Dimension 2 Code",$F$12,"Global Dimension 1 Code","@@"&amp;$I136,"Company=",$D$6,"Transaction Type",AB$4,"Posting Date",AB$3),0))</t>
  </si>
  <si>
    <t>=IF(OR(AD$1="hide",$P136=""),0,ROUND(NL("SUM","G/L Entry","Amount","G/L Account No.",$P136,"Fund No.",$F$22,"Global Dimension 2 Code",$F$12,"Global Dimension 1 Code","@@"&amp;$I136,"Company=",$D$6,"Transaction Type",AD$4,"Posting Date",AD$3),0))</t>
  </si>
  <si>
    <t>=IF(OR(AF$1="hide",$P136=""),0,ROUND(NL("SUM","G/L Entry","Amount","G/L Account No.",$P136,"Fund No.",$F$22,"Global Dimension 2 Code",$F$12,"Global Dimension 1 Code","@@"&amp;$I136,"Company=",$D$6,"Transaction Type",AF$4,"Posting Date",AF$3),0))</t>
  </si>
  <si>
    <t>=IF(OR(AH$1="hide",$P136=""),0,(ROUND(NL("SUM","G/L Entry","Amount","G/L Account No.",$P136,"Fund No.",$F$22,"Global Dimension 2 Code",$F$12,"Global Dimension 1 Code","@@"&amp;$I136,"Company=",$D$6,"Transaction Type",AH$4,"Posting Date",AH$3),0)))</t>
  </si>
  <si>
    <t>=IF(ISERROR(AH136+AJ136),0,(AH136+AJ136))</t>
  </si>
  <si>
    <t>=IF($F$13="yes",0,IF($P136="",0,ROUND(NL("SUM","G/L Budget Entry","Amount","Fund No.",$F$22,"G/L Account No.",$P136,"Company=",$D$6,"Global Dimension 1 Code","@@"&amp;$I136,"Global Dimension 2 Code",$F$12,"Date",$AN$3),0)))</t>
  </si>
  <si>
    <t>=IF($F$13="YES",AF136,AN136)</t>
  </si>
  <si>
    <t>=ABS(SUMIF(V136:AP136,"&gt;0")-SUMIF(V136:AP136,"&lt;0"))</t>
  </si>
  <si>
    <t>=IF(AQ137=0,"Hide","Show")</t>
  </si>
  <si>
    <t>=I136</t>
  </si>
  <si>
    <t>="534155"</t>
  </si>
  <si>
    <t>=IF(I137="","500000 51800",K137&amp;" "&amp;I137)</t>
  </si>
  <si>
    <t>=K137</t>
  </si>
  <si>
    <t>=IF($P137="","",NL("Rows","G/L Account","Name","No.",$P137,"Company=",$D$6))</t>
  </si>
  <si>
    <t>=IF($P137="",0,ROUND(NL("SUM","G/L Entry","Amount","G/L Account No.",$P137,"Fund No.",$F$22,"Global Dimension 2 Code",$F$12,"Global Dimension 1 Code","@@"&amp;$I137,"Company=",$D$6,"Transaction Type",T$4,"Posting Date",T$3),0))</t>
  </si>
  <si>
    <t>=IF(OR(V$1="hide",$P137=""),0,ROUND(NL("SUM","G/L Entry","Amount","G/L Account No.",$P137,"Fund No.",$F$22,"Global Dimension 2 Code",$F$12,"Global Dimension 1 Code","@@"&amp;$I137,"Company=",$D$6,"Transaction Type",V$4,"Posting Date",V$3),0))</t>
  </si>
  <si>
    <t>=IF(OR(X$1="hide",$P137=""),0,ROUND(NL("SUM","G/L Entry","Amount","G/L Account No.",$P137,"Fund No.",$F$22,"Global Dimension 2 Code",$F$12,"Global Dimension 1 Code","@@"&amp;$I137,"Company=",$D$6,"Transaction Type",X$4,"Posting Date",X$3),0))</t>
  </si>
  <si>
    <t>=IF(OR(Z$1="hide",$P137=""),0,ROUND(NL("SUM","G/L Entry","Amount","G/L Account No.",$P137,"Fund No.",$F$22,"Global Dimension 2 Code",$F$12,"Global Dimension 1 Code","@@"&amp;$I137,"Company=",$D$6,"Transaction Type",Z$4,"Posting Date",Z$3),0))</t>
  </si>
  <si>
    <t>=IF(OR(AB$1="hide",$P137=""),0,ROUND(NL("SUM","G/L Entry","Amount","G/L Account No.",$P137,"Fund No.",$F$22,"Global Dimension 2 Code",$F$12,"Global Dimension 1 Code","@@"&amp;$I137,"Company=",$D$6,"Transaction Type",AB$4,"Posting Date",AB$3),0))</t>
  </si>
  <si>
    <t>=IF(OR(AD$1="hide",$P137=""),0,ROUND(NL("SUM","G/L Entry","Amount","G/L Account No.",$P137,"Fund No.",$F$22,"Global Dimension 2 Code",$F$12,"Global Dimension 1 Code","@@"&amp;$I137,"Company=",$D$6,"Transaction Type",AD$4,"Posting Date",AD$3),0))</t>
  </si>
  <si>
    <t>=IF(OR(AF$1="hide",$P137=""),0,ROUND(NL("SUM","G/L Entry","Amount","G/L Account No.",$P137,"Fund No.",$F$22,"Global Dimension 2 Code",$F$12,"Global Dimension 1 Code","@@"&amp;$I137,"Company=",$D$6,"Transaction Type",AF$4,"Posting Date",AF$3),0))</t>
  </si>
  <si>
    <t>=IF(OR(AH$1="hide",$P137=""),0,(ROUND(NL("SUM","G/L Entry","Amount","G/L Account No.",$P137,"Fund No.",$F$22,"Global Dimension 2 Code",$F$12,"Global Dimension 1 Code","@@"&amp;$I137,"Company=",$D$6,"Transaction Type",AH$4,"Posting Date",AH$3),0)))</t>
  </si>
  <si>
    <t>=IF(ISERROR(AH137+AJ137),0,(AH137+AJ137))</t>
  </si>
  <si>
    <t>=IF($F$13="yes",0,IF($P137="",0,ROUND(NL("SUM","G/L Budget Entry","Amount","Fund No.",$F$22,"G/L Account No.",$P137,"Company=",$D$6,"Global Dimension 1 Code","@@"&amp;$I137,"Global Dimension 2 Code",$F$12,"Date",$AN$3),0)))</t>
  </si>
  <si>
    <t>=IF($F$13="YES",AF137,AN137)</t>
  </si>
  <si>
    <t>=ABS(SUMIF(V137:AP137,"&gt;0")-SUMIF(V137:AP137,"&lt;0"))</t>
  </si>
  <si>
    <t>=IF(AQ138=0,"Hide","Show")</t>
  </si>
  <si>
    <t>=I137</t>
  </si>
  <si>
    <t>="543020"</t>
  </si>
  <si>
    <t>=IF(I138="","500000 51800",K138&amp;" "&amp;I138)</t>
  </si>
  <si>
    <t>=K138</t>
  </si>
  <si>
    <t>=IF($P138="","",NL("Rows","G/L Account","Name","No.",$P138,"Company=",$D$6))</t>
  </si>
  <si>
    <t>=IF($P138="",0,ROUND(NL("SUM","G/L Entry","Amount","G/L Account No.",$P138,"Fund No.",$F$22,"Global Dimension 2 Code",$F$12,"Global Dimension 1 Code","@@"&amp;$I138,"Company=",$D$6,"Transaction Type",T$4,"Posting Date",T$3),0))</t>
  </si>
  <si>
    <t>=IF(OR(V$1="hide",$P138=""),0,ROUND(NL("SUM","G/L Entry","Amount","G/L Account No.",$P138,"Fund No.",$F$22,"Global Dimension 2 Code",$F$12,"Global Dimension 1 Code","@@"&amp;$I138,"Company=",$D$6,"Transaction Type",V$4,"Posting Date",V$3),0))</t>
  </si>
  <si>
    <t>=IF(OR(X$1="hide",$P138=""),0,ROUND(NL("SUM","G/L Entry","Amount","G/L Account No.",$P138,"Fund No.",$F$22,"Global Dimension 2 Code",$F$12,"Global Dimension 1 Code","@@"&amp;$I138,"Company=",$D$6,"Transaction Type",X$4,"Posting Date",X$3),0))</t>
  </si>
  <si>
    <t>=IF(OR(Z$1="hide",$P138=""),0,ROUND(NL("SUM","G/L Entry","Amount","G/L Account No.",$P138,"Fund No.",$F$22,"Global Dimension 2 Code",$F$12,"Global Dimension 1 Code","@@"&amp;$I138,"Company=",$D$6,"Transaction Type",Z$4,"Posting Date",Z$3),0))</t>
  </si>
  <si>
    <t>=IF(OR(AB$1="hide",$P138=""),0,ROUND(NL("SUM","G/L Entry","Amount","G/L Account No.",$P138,"Fund No.",$F$22,"Global Dimension 2 Code",$F$12,"Global Dimension 1 Code","@@"&amp;$I138,"Company=",$D$6,"Transaction Type",AB$4,"Posting Date",AB$3),0))</t>
  </si>
  <si>
    <t>=IF(OR(AD$1="hide",$P138=""),0,ROUND(NL("SUM","G/L Entry","Amount","G/L Account No.",$P138,"Fund No.",$F$22,"Global Dimension 2 Code",$F$12,"Global Dimension 1 Code","@@"&amp;$I138,"Company=",$D$6,"Transaction Type",AD$4,"Posting Date",AD$3),0))</t>
  </si>
  <si>
    <t>=IF(OR(AF$1="hide",$P138=""),0,ROUND(NL("SUM","G/L Entry","Amount","G/L Account No.",$P138,"Fund No.",$F$22,"Global Dimension 2 Code",$F$12,"Global Dimension 1 Code","@@"&amp;$I138,"Company=",$D$6,"Transaction Type",AF$4,"Posting Date",AF$3),0))</t>
  </si>
  <si>
    <t>=IF(OR(AH$1="hide",$P138=""),0,(ROUND(NL("SUM","G/L Entry","Amount","G/L Account No.",$P138,"Fund No.",$F$22,"Global Dimension 2 Code",$F$12,"Global Dimension 1 Code","@@"&amp;$I138,"Company=",$D$6,"Transaction Type",AH$4,"Posting Date",AH$3),0)))</t>
  </si>
  <si>
    <t>=IF(ISERROR(AH138+AJ138),0,(AH138+AJ138))</t>
  </si>
  <si>
    <t>=IF($F$13="yes",0,IF($P138="",0,ROUND(NL("SUM","G/L Budget Entry","Amount","Fund No.",$F$22,"G/L Account No.",$P138,"Company=",$D$6,"Global Dimension 1 Code","@@"&amp;$I138,"Global Dimension 2 Code",$F$12,"Date",$AN$3),0)))</t>
  </si>
  <si>
    <t>=IF($F$13="YES",AF138,AN138)</t>
  </si>
  <si>
    <t>=ABS(SUMIF(V138:AP138,"&gt;0")-SUMIF(V138:AP138,"&lt;0"))</t>
  </si>
  <si>
    <t>=IF(AQ139=0,"Hide","Show")</t>
  </si>
  <si>
    <t>=I138</t>
  </si>
  <si>
    <t>="546022"</t>
  </si>
  <si>
    <t>=IF(I139="","500000 51800",K139&amp;" "&amp;I139)</t>
  </si>
  <si>
    <t>=K139</t>
  </si>
  <si>
    <t>=IF($P139="","",NL("Rows","G/L Account","Name","No.",$P139,"Company=",$D$6))</t>
  </si>
  <si>
    <t>=IF($P139="",0,ROUND(NL("SUM","G/L Entry","Amount","G/L Account No.",$P139,"Fund No.",$F$22,"Global Dimension 2 Code",$F$12,"Global Dimension 1 Code","@@"&amp;$I139,"Company=",$D$6,"Transaction Type",T$4,"Posting Date",T$3),0))</t>
  </si>
  <si>
    <t>=IF(OR(V$1="hide",$P139=""),0,ROUND(NL("SUM","G/L Entry","Amount","G/L Account No.",$P139,"Fund No.",$F$22,"Global Dimension 2 Code",$F$12,"Global Dimension 1 Code","@@"&amp;$I139,"Company=",$D$6,"Transaction Type",V$4,"Posting Date",V$3),0))</t>
  </si>
  <si>
    <t>=IF(OR(X$1="hide",$P139=""),0,ROUND(NL("SUM","G/L Entry","Amount","G/L Account No.",$P139,"Fund No.",$F$22,"Global Dimension 2 Code",$F$12,"Global Dimension 1 Code","@@"&amp;$I139,"Company=",$D$6,"Transaction Type",X$4,"Posting Date",X$3),0))</t>
  </si>
  <si>
    <t>=IF(OR(Z$1="hide",$P139=""),0,ROUND(NL("SUM","G/L Entry","Amount","G/L Account No.",$P139,"Fund No.",$F$22,"Global Dimension 2 Code",$F$12,"Global Dimension 1 Code","@@"&amp;$I139,"Company=",$D$6,"Transaction Type",Z$4,"Posting Date",Z$3),0))</t>
  </si>
  <si>
    <t>=IF(OR(AB$1="hide",$P139=""),0,ROUND(NL("SUM","G/L Entry","Amount","G/L Account No.",$P139,"Fund No.",$F$22,"Global Dimension 2 Code",$F$12,"Global Dimension 1 Code","@@"&amp;$I139,"Company=",$D$6,"Transaction Type",AB$4,"Posting Date",AB$3),0))</t>
  </si>
  <si>
    <t>=IF(OR(AD$1="hide",$P139=""),0,ROUND(NL("SUM","G/L Entry","Amount","G/L Account No.",$P139,"Fund No.",$F$22,"Global Dimension 2 Code",$F$12,"Global Dimension 1 Code","@@"&amp;$I139,"Company=",$D$6,"Transaction Type",AD$4,"Posting Date",AD$3),0))</t>
  </si>
  <si>
    <t>=IF(OR(AF$1="hide",$P139=""),0,ROUND(NL("SUM","G/L Entry","Amount","G/L Account No.",$P139,"Fund No.",$F$22,"Global Dimension 2 Code",$F$12,"Global Dimension 1 Code","@@"&amp;$I139,"Company=",$D$6,"Transaction Type",AF$4,"Posting Date",AF$3),0))</t>
  </si>
  <si>
    <t>=IF(OR(AH$1="hide",$P139=""),0,(ROUND(NL("SUM","G/L Entry","Amount","G/L Account No.",$P139,"Fund No.",$F$22,"Global Dimension 2 Code",$F$12,"Global Dimension 1 Code","@@"&amp;$I139,"Company=",$D$6,"Transaction Type",AH$4,"Posting Date",AH$3),0)))</t>
  </si>
  <si>
    <t>=IF(ISERROR(AH139+AJ139),0,(AH139+AJ139))</t>
  </si>
  <si>
    <t>=IF($F$13="yes",0,IF($P139="",0,ROUND(NL("SUM","G/L Budget Entry","Amount","Fund No.",$F$22,"G/L Account No.",$P139,"Company=",$D$6,"Global Dimension 1 Code","@@"&amp;$I139,"Global Dimension 2 Code",$F$12,"Date",$AN$3),0)))</t>
  </si>
  <si>
    <t>=IF($F$13="YES",AF139,AN139)</t>
  </si>
  <si>
    <t>=ABS(SUMIF(V139:AP139,"&gt;0")-SUMIF(V139:AP139,"&lt;0"))</t>
  </si>
  <si>
    <t>=IF(AQ140=0,"Hide","Show")</t>
  </si>
  <si>
    <t>=I139</t>
  </si>
  <si>
    <t>="546031"</t>
  </si>
  <si>
    <t>=IF(I140="","500000 51800",K140&amp;" "&amp;I140)</t>
  </si>
  <si>
    <t>=K140</t>
  </si>
  <si>
    <t>=IF($P140="","",NL("Rows","G/L Account","Name","No.",$P140,"Company=",$D$6))</t>
  </si>
  <si>
    <t>=IF($P140="",0,ROUND(NL("SUM","G/L Entry","Amount","G/L Account No.",$P140,"Fund No.",$F$22,"Global Dimension 2 Code",$F$12,"Global Dimension 1 Code","@@"&amp;$I140,"Company=",$D$6,"Transaction Type",T$4,"Posting Date",T$3),0))</t>
  </si>
  <si>
    <t>=IF(OR(V$1="hide",$P140=""),0,ROUND(NL("SUM","G/L Entry","Amount","G/L Account No.",$P140,"Fund No.",$F$22,"Global Dimension 2 Code",$F$12,"Global Dimension 1 Code","@@"&amp;$I140,"Company=",$D$6,"Transaction Type",V$4,"Posting Date",V$3),0))</t>
  </si>
  <si>
    <t>=IF(OR(X$1="hide",$P140=""),0,ROUND(NL("SUM","G/L Entry","Amount","G/L Account No.",$P140,"Fund No.",$F$22,"Global Dimension 2 Code",$F$12,"Global Dimension 1 Code","@@"&amp;$I140,"Company=",$D$6,"Transaction Type",X$4,"Posting Date",X$3),0))</t>
  </si>
  <si>
    <t>=IF(OR(Z$1="hide",$P140=""),0,ROUND(NL("SUM","G/L Entry","Amount","G/L Account No.",$P140,"Fund No.",$F$22,"Global Dimension 2 Code",$F$12,"Global Dimension 1 Code","@@"&amp;$I140,"Company=",$D$6,"Transaction Type",Z$4,"Posting Date",Z$3),0))</t>
  </si>
  <si>
    <t>=IF(OR(AB$1="hide",$P140=""),0,ROUND(NL("SUM","G/L Entry","Amount","G/L Account No.",$P140,"Fund No.",$F$22,"Global Dimension 2 Code",$F$12,"Global Dimension 1 Code","@@"&amp;$I140,"Company=",$D$6,"Transaction Type",AB$4,"Posting Date",AB$3),0))</t>
  </si>
  <si>
    <t>=IF(OR(AD$1="hide",$P140=""),0,ROUND(NL("SUM","G/L Entry","Amount","G/L Account No.",$P140,"Fund No.",$F$22,"Global Dimension 2 Code",$F$12,"Global Dimension 1 Code","@@"&amp;$I140,"Company=",$D$6,"Transaction Type",AD$4,"Posting Date",AD$3),0))</t>
  </si>
  <si>
    <t>=IF(OR(AF$1="hide",$P140=""),0,ROUND(NL("SUM","G/L Entry","Amount","G/L Account No.",$P140,"Fund No.",$F$22,"Global Dimension 2 Code",$F$12,"Global Dimension 1 Code","@@"&amp;$I140,"Company=",$D$6,"Transaction Type",AF$4,"Posting Date",AF$3),0))</t>
  </si>
  <si>
    <t>=IF(OR(AH$1="hide",$P140=""),0,(ROUND(NL("SUM","G/L Entry","Amount","G/L Account No.",$P140,"Fund No.",$F$22,"Global Dimension 2 Code",$F$12,"Global Dimension 1 Code","@@"&amp;$I140,"Company=",$D$6,"Transaction Type",AH$4,"Posting Date",AH$3),0)))</t>
  </si>
  <si>
    <t>=IF(ISERROR(AH140+AJ140),0,(AH140+AJ140))</t>
  </si>
  <si>
    <t>=IF($F$13="yes",0,IF($P140="",0,ROUND(NL("SUM","G/L Budget Entry","Amount","Fund No.",$F$22,"G/L Account No.",$P140,"Company=",$D$6,"Global Dimension 1 Code","@@"&amp;$I140,"Global Dimension 2 Code",$F$12,"Date",$AN$3),0)))</t>
  </si>
  <si>
    <t>=IF($F$13="YES",AF140,AN140)</t>
  </si>
  <si>
    <t>=ABS(SUMIF(V140:AP140,"&gt;0")-SUMIF(V140:AP140,"&lt;0"))</t>
  </si>
  <si>
    <t>=IF(AQ141=0,"Hide","Show")</t>
  </si>
  <si>
    <t>=I140</t>
  </si>
  <si>
    <t>="546032"</t>
  </si>
  <si>
    <t>=IF(I141="","500000 51800",K141&amp;" "&amp;I141)</t>
  </si>
  <si>
    <t>=K141</t>
  </si>
  <si>
    <t>=IF($P141="","",NL("Rows","G/L Account","Name","No.",$P141,"Company=",$D$6))</t>
  </si>
  <si>
    <t>=IF($P141="",0,ROUND(NL("SUM","G/L Entry","Amount","G/L Account No.",$P141,"Fund No.",$F$22,"Global Dimension 2 Code",$F$12,"Global Dimension 1 Code","@@"&amp;$I141,"Company=",$D$6,"Transaction Type",T$4,"Posting Date",T$3),0))</t>
  </si>
  <si>
    <t>=IF(OR(V$1="hide",$P141=""),0,ROUND(NL("SUM","G/L Entry","Amount","G/L Account No.",$P141,"Fund No.",$F$22,"Global Dimension 2 Code",$F$12,"Global Dimension 1 Code","@@"&amp;$I141,"Company=",$D$6,"Transaction Type",V$4,"Posting Date",V$3),0))</t>
  </si>
  <si>
    <t>=IF(OR(X$1="hide",$P141=""),0,ROUND(NL("SUM","G/L Entry","Amount","G/L Account No.",$P141,"Fund No.",$F$22,"Global Dimension 2 Code",$F$12,"Global Dimension 1 Code","@@"&amp;$I141,"Company=",$D$6,"Transaction Type",X$4,"Posting Date",X$3),0))</t>
  </si>
  <si>
    <t>=IF(OR(Z$1="hide",$P141=""),0,ROUND(NL("SUM","G/L Entry","Amount","G/L Account No.",$P141,"Fund No.",$F$22,"Global Dimension 2 Code",$F$12,"Global Dimension 1 Code","@@"&amp;$I141,"Company=",$D$6,"Transaction Type",Z$4,"Posting Date",Z$3),0))</t>
  </si>
  <si>
    <t>=IF(OR(AB$1="hide",$P141=""),0,ROUND(NL("SUM","G/L Entry","Amount","G/L Account No.",$P141,"Fund No.",$F$22,"Global Dimension 2 Code",$F$12,"Global Dimension 1 Code","@@"&amp;$I141,"Company=",$D$6,"Transaction Type",AB$4,"Posting Date",AB$3),0))</t>
  </si>
  <si>
    <t>=IF(OR(AD$1="hide",$P141=""),0,ROUND(NL("SUM","G/L Entry","Amount","G/L Account No.",$P141,"Fund No.",$F$22,"Global Dimension 2 Code",$F$12,"Global Dimension 1 Code","@@"&amp;$I141,"Company=",$D$6,"Transaction Type",AD$4,"Posting Date",AD$3),0))</t>
  </si>
  <si>
    <t>=IF(OR(AF$1="hide",$P141=""),0,ROUND(NL("SUM","G/L Entry","Amount","G/L Account No.",$P141,"Fund No.",$F$22,"Global Dimension 2 Code",$F$12,"Global Dimension 1 Code","@@"&amp;$I141,"Company=",$D$6,"Transaction Type",AF$4,"Posting Date",AF$3),0))</t>
  </si>
  <si>
    <t>=IF(OR(AH$1="hide",$P141=""),0,(ROUND(NL("SUM","G/L Entry","Amount","G/L Account No.",$P141,"Fund No.",$F$22,"Global Dimension 2 Code",$F$12,"Global Dimension 1 Code","@@"&amp;$I141,"Company=",$D$6,"Transaction Type",AH$4,"Posting Date",AH$3),0)))</t>
  </si>
  <si>
    <t>=IF(ISERROR(AH141+AJ141),0,(AH141+AJ141))</t>
  </si>
  <si>
    <t>=IF($F$13="yes",0,IF($P141="",0,ROUND(NL("SUM","G/L Budget Entry","Amount","Fund No.",$F$22,"G/L Account No.",$P141,"Company=",$D$6,"Global Dimension 1 Code","@@"&amp;$I141,"Global Dimension 2 Code",$F$12,"Date",$AN$3),0)))</t>
  </si>
  <si>
    <t>=IF($F$13="YES",AF141,AN141)</t>
  </si>
  <si>
    <t>=ABS(SUMIF(V141:AP141,"&gt;0")-SUMIF(V141:AP141,"&lt;0"))</t>
  </si>
  <si>
    <t>=IF(AQ142=0,"Hide","Show")</t>
  </si>
  <si>
    <t>=I141</t>
  </si>
  <si>
    <t>="546037"</t>
  </si>
  <si>
    <t>=IF(I142="","500000 51800",K142&amp;" "&amp;I142)</t>
  </si>
  <si>
    <t>=K142</t>
  </si>
  <si>
    <t>=IF($P142="","",NL("Rows","G/L Account","Name","No.",$P142,"Company=",$D$6))</t>
  </si>
  <si>
    <t>=IF($P142="",0,ROUND(NL("SUM","G/L Entry","Amount","G/L Account No.",$P142,"Fund No.",$F$22,"Global Dimension 2 Code",$F$12,"Global Dimension 1 Code","@@"&amp;$I142,"Company=",$D$6,"Transaction Type",T$4,"Posting Date",T$3),0))</t>
  </si>
  <si>
    <t>=IF(OR(V$1="hide",$P142=""),0,ROUND(NL("SUM","G/L Entry","Amount","G/L Account No.",$P142,"Fund No.",$F$22,"Global Dimension 2 Code",$F$12,"Global Dimension 1 Code","@@"&amp;$I142,"Company=",$D$6,"Transaction Type",V$4,"Posting Date",V$3),0))</t>
  </si>
  <si>
    <t>=IF(OR(X$1="hide",$P142=""),0,ROUND(NL("SUM","G/L Entry","Amount","G/L Account No.",$P142,"Fund No.",$F$22,"Global Dimension 2 Code",$F$12,"Global Dimension 1 Code","@@"&amp;$I142,"Company=",$D$6,"Transaction Type",X$4,"Posting Date",X$3),0))</t>
  </si>
  <si>
    <t>=IF(OR(Z$1="hide",$P142=""),0,ROUND(NL("SUM","G/L Entry","Amount","G/L Account No.",$P142,"Fund No.",$F$22,"Global Dimension 2 Code",$F$12,"Global Dimension 1 Code","@@"&amp;$I142,"Company=",$D$6,"Transaction Type",Z$4,"Posting Date",Z$3),0))</t>
  </si>
  <si>
    <t>=IF(OR(AB$1="hide",$P142=""),0,ROUND(NL("SUM","G/L Entry","Amount","G/L Account No.",$P142,"Fund No.",$F$22,"Global Dimension 2 Code",$F$12,"Global Dimension 1 Code","@@"&amp;$I142,"Company=",$D$6,"Transaction Type",AB$4,"Posting Date",AB$3),0))</t>
  </si>
  <si>
    <t>=IF(OR(AD$1="hide",$P142=""),0,ROUND(NL("SUM","G/L Entry","Amount","G/L Account No.",$P142,"Fund No.",$F$22,"Global Dimension 2 Code",$F$12,"Global Dimension 1 Code","@@"&amp;$I142,"Company=",$D$6,"Transaction Type",AD$4,"Posting Date",AD$3),0))</t>
  </si>
  <si>
    <t>=IF(OR(AF$1="hide",$P142=""),0,ROUND(NL("SUM","G/L Entry","Amount","G/L Account No.",$P142,"Fund No.",$F$22,"Global Dimension 2 Code",$F$12,"Global Dimension 1 Code","@@"&amp;$I142,"Company=",$D$6,"Transaction Type",AF$4,"Posting Date",AF$3),0))</t>
  </si>
  <si>
    <t>=IF(OR(AH$1="hide",$P142=""),0,(ROUND(NL("SUM","G/L Entry","Amount","G/L Account No.",$P142,"Fund No.",$F$22,"Global Dimension 2 Code",$F$12,"Global Dimension 1 Code","@@"&amp;$I142,"Company=",$D$6,"Transaction Type",AH$4,"Posting Date",AH$3),0)))</t>
  </si>
  <si>
    <t>=IF(ISERROR(AH142+AJ142),0,(AH142+AJ142))</t>
  </si>
  <si>
    <t>=IF($F$13="yes",0,IF($P142="",0,ROUND(NL("SUM","G/L Budget Entry","Amount","Fund No.",$F$22,"G/L Account No.",$P142,"Company=",$D$6,"Global Dimension 1 Code","@@"&amp;$I142,"Global Dimension 2 Code",$F$12,"Date",$AN$3),0)))</t>
  </si>
  <si>
    <t>=IF($F$13="YES",AF142,AN142)</t>
  </si>
  <si>
    <t>=ABS(SUMIF(V142:AP142,"&gt;0")-SUMIF(V142:AP142,"&lt;0"))</t>
  </si>
  <si>
    <t>=IF(AQ143=0,"Hide","Show")</t>
  </si>
  <si>
    <t>=I142</t>
  </si>
  <si>
    <t>="546041"</t>
  </si>
  <si>
    <t>=IF(I143="","500000 51800",K143&amp;" "&amp;I143)</t>
  </si>
  <si>
    <t>=K143</t>
  </si>
  <si>
    <t>=IF($P143="","",NL("Rows","G/L Account","Name","No.",$P143,"Company=",$D$6))</t>
  </si>
  <si>
    <t>=IF($P143="",0,ROUND(NL("SUM","G/L Entry","Amount","G/L Account No.",$P143,"Fund No.",$F$22,"Global Dimension 2 Code",$F$12,"Global Dimension 1 Code","@@"&amp;$I143,"Company=",$D$6,"Transaction Type",T$4,"Posting Date",T$3),0))</t>
  </si>
  <si>
    <t>=IF(OR(V$1="hide",$P143=""),0,ROUND(NL("SUM","G/L Entry","Amount","G/L Account No.",$P143,"Fund No.",$F$22,"Global Dimension 2 Code",$F$12,"Global Dimension 1 Code","@@"&amp;$I143,"Company=",$D$6,"Transaction Type",V$4,"Posting Date",V$3),0))</t>
  </si>
  <si>
    <t>=IF(OR(X$1="hide",$P143=""),0,ROUND(NL("SUM","G/L Entry","Amount","G/L Account No.",$P143,"Fund No.",$F$22,"Global Dimension 2 Code",$F$12,"Global Dimension 1 Code","@@"&amp;$I143,"Company=",$D$6,"Transaction Type",X$4,"Posting Date",X$3),0))</t>
  </si>
  <si>
    <t>=IF(OR(Z$1="hide",$P143=""),0,ROUND(NL("SUM","G/L Entry","Amount","G/L Account No.",$P143,"Fund No.",$F$22,"Global Dimension 2 Code",$F$12,"Global Dimension 1 Code","@@"&amp;$I143,"Company=",$D$6,"Transaction Type",Z$4,"Posting Date",Z$3),0))</t>
  </si>
  <si>
    <t>=IF(OR(AB$1="hide",$P143=""),0,ROUND(NL("SUM","G/L Entry","Amount","G/L Account No.",$P143,"Fund No.",$F$22,"Global Dimension 2 Code",$F$12,"Global Dimension 1 Code","@@"&amp;$I143,"Company=",$D$6,"Transaction Type",AB$4,"Posting Date",AB$3),0))</t>
  </si>
  <si>
    <t>=IF(OR(AD$1="hide",$P143=""),0,ROUND(NL("SUM","G/L Entry","Amount","G/L Account No.",$P143,"Fund No.",$F$22,"Global Dimension 2 Code",$F$12,"Global Dimension 1 Code","@@"&amp;$I143,"Company=",$D$6,"Transaction Type",AD$4,"Posting Date",AD$3),0))</t>
  </si>
  <si>
    <t>=IF(OR(AF$1="hide",$P143=""),0,ROUND(NL("SUM","G/L Entry","Amount","G/L Account No.",$P143,"Fund No.",$F$22,"Global Dimension 2 Code",$F$12,"Global Dimension 1 Code","@@"&amp;$I143,"Company=",$D$6,"Transaction Type",AF$4,"Posting Date",AF$3),0))</t>
  </si>
  <si>
    <t>=IF(OR(AH$1="hide",$P143=""),0,(ROUND(NL("SUM","G/L Entry","Amount","G/L Account No.",$P143,"Fund No.",$F$22,"Global Dimension 2 Code",$F$12,"Global Dimension 1 Code","@@"&amp;$I143,"Company=",$D$6,"Transaction Type",AH$4,"Posting Date",AH$3),0)))</t>
  </si>
  <si>
    <t>=IF(ISERROR(AH143+AJ143),0,(AH143+AJ143))</t>
  </si>
  <si>
    <t>=IF($F$13="yes",0,IF($P143="",0,ROUND(NL("SUM","G/L Budget Entry","Amount","Fund No.",$F$22,"G/L Account No.",$P143,"Company=",$D$6,"Global Dimension 1 Code","@@"&amp;$I143,"Global Dimension 2 Code",$F$12,"Date",$AN$3),0)))</t>
  </si>
  <si>
    <t>=IF($F$13="YES",AF143,AN143)</t>
  </si>
  <si>
    <t>=ABS(SUMIF(V143:AP143,"&gt;0")-SUMIF(V143:AP143,"&lt;0"))</t>
  </si>
  <si>
    <t>=IF(AQ144=0,"Hide","Show")</t>
  </si>
  <si>
    <t>=I143</t>
  </si>
  <si>
    <t>="546094"</t>
  </si>
  <si>
    <t>=IF(I144="","500000 51800",K144&amp;" "&amp;I144)</t>
  </si>
  <si>
    <t>=K144</t>
  </si>
  <si>
    <t>=IF($P144="","",NL("Rows","G/L Account","Name","No.",$P144,"Company=",$D$6))</t>
  </si>
  <si>
    <t>=IF($P144="",0,ROUND(NL("SUM","G/L Entry","Amount","G/L Account No.",$P144,"Fund No.",$F$22,"Global Dimension 2 Code",$F$12,"Global Dimension 1 Code","@@"&amp;$I144,"Company=",$D$6,"Transaction Type",T$4,"Posting Date",T$3),0))</t>
  </si>
  <si>
    <t>=IF(OR(V$1="hide",$P144=""),0,ROUND(NL("SUM","G/L Entry","Amount","G/L Account No.",$P144,"Fund No.",$F$22,"Global Dimension 2 Code",$F$12,"Global Dimension 1 Code","@@"&amp;$I144,"Company=",$D$6,"Transaction Type",V$4,"Posting Date",V$3),0))</t>
  </si>
  <si>
    <t>=IF(OR(X$1="hide",$P144=""),0,ROUND(NL("SUM","G/L Entry","Amount","G/L Account No.",$P144,"Fund No.",$F$22,"Global Dimension 2 Code",$F$12,"Global Dimension 1 Code","@@"&amp;$I144,"Company=",$D$6,"Transaction Type",X$4,"Posting Date",X$3),0))</t>
  </si>
  <si>
    <t>=IF(OR(Z$1="hide",$P144=""),0,ROUND(NL("SUM","G/L Entry","Amount","G/L Account No.",$P144,"Fund No.",$F$22,"Global Dimension 2 Code",$F$12,"Global Dimension 1 Code","@@"&amp;$I144,"Company=",$D$6,"Transaction Type",Z$4,"Posting Date",Z$3),0))</t>
  </si>
  <si>
    <t>=IF(OR(AB$1="hide",$P144=""),0,ROUND(NL("SUM","G/L Entry","Amount","G/L Account No.",$P144,"Fund No.",$F$22,"Global Dimension 2 Code",$F$12,"Global Dimension 1 Code","@@"&amp;$I144,"Company=",$D$6,"Transaction Type",AB$4,"Posting Date",AB$3),0))</t>
  </si>
  <si>
    <t>=IF(OR(AD$1="hide",$P144=""),0,ROUND(NL("SUM","G/L Entry","Amount","G/L Account No.",$P144,"Fund No.",$F$22,"Global Dimension 2 Code",$F$12,"Global Dimension 1 Code","@@"&amp;$I144,"Company=",$D$6,"Transaction Type",AD$4,"Posting Date",AD$3),0))</t>
  </si>
  <si>
    <t>=IF(OR(AF$1="hide",$P144=""),0,ROUND(NL("SUM","G/L Entry","Amount","G/L Account No.",$P144,"Fund No.",$F$22,"Global Dimension 2 Code",$F$12,"Global Dimension 1 Code","@@"&amp;$I144,"Company=",$D$6,"Transaction Type",AF$4,"Posting Date",AF$3),0))</t>
  </si>
  <si>
    <t>=IF(OR(AH$1="hide",$P144=""),0,(ROUND(NL("SUM","G/L Entry","Amount","G/L Account No.",$P144,"Fund No.",$F$22,"Global Dimension 2 Code",$F$12,"Global Dimension 1 Code","@@"&amp;$I144,"Company=",$D$6,"Transaction Type",AH$4,"Posting Date",AH$3),0)))</t>
  </si>
  <si>
    <t>=IF(ISERROR(AH144+AJ144),0,(AH144+AJ144))</t>
  </si>
  <si>
    <t>=IF($F$13="yes",0,IF($P144="",0,ROUND(NL("SUM","G/L Budget Entry","Amount","Fund No.",$F$22,"G/L Account No.",$P144,"Company=",$D$6,"Global Dimension 1 Code","@@"&amp;$I144,"Global Dimension 2 Code",$F$12,"Date",$AN$3),0)))</t>
  </si>
  <si>
    <t>=IF($F$13="YES",AF144,AN144)</t>
  </si>
  <si>
    <t>=ABS(SUMIF(V144:AP144,"&gt;0")-SUMIF(V144:AP144,"&lt;0"))</t>
  </si>
  <si>
    <t>=IF(AQ145=0,"Hide","Show")</t>
  </si>
  <si>
    <t>=I144</t>
  </si>
  <si>
    <t>="546098"</t>
  </si>
  <si>
    <t>=IF(I145="","500000 51800",K145&amp;" "&amp;I145)</t>
  </si>
  <si>
    <t>=K145</t>
  </si>
  <si>
    <t>=IF($P145="","",NL("Rows","G/L Account","Name","No.",$P145,"Company=",$D$6))</t>
  </si>
  <si>
    <t>=IF($P145="",0,ROUND(NL("SUM","G/L Entry","Amount","G/L Account No.",$P145,"Fund No.",$F$22,"Global Dimension 2 Code",$F$12,"Global Dimension 1 Code","@@"&amp;$I145,"Company=",$D$6,"Transaction Type",T$4,"Posting Date",T$3),0))</t>
  </si>
  <si>
    <t>=IF(OR(V$1="hide",$P145=""),0,ROUND(NL("SUM","G/L Entry","Amount","G/L Account No.",$P145,"Fund No.",$F$22,"Global Dimension 2 Code",$F$12,"Global Dimension 1 Code","@@"&amp;$I145,"Company=",$D$6,"Transaction Type",V$4,"Posting Date",V$3),0))</t>
  </si>
  <si>
    <t>=IF(OR(X$1="hide",$P145=""),0,ROUND(NL("SUM","G/L Entry","Amount","G/L Account No.",$P145,"Fund No.",$F$22,"Global Dimension 2 Code",$F$12,"Global Dimension 1 Code","@@"&amp;$I145,"Company=",$D$6,"Transaction Type",X$4,"Posting Date",X$3),0))</t>
  </si>
  <si>
    <t>=IF(OR(Z$1="hide",$P145=""),0,ROUND(NL("SUM","G/L Entry","Amount","G/L Account No.",$P145,"Fund No.",$F$22,"Global Dimension 2 Code",$F$12,"Global Dimension 1 Code","@@"&amp;$I145,"Company=",$D$6,"Transaction Type",Z$4,"Posting Date",Z$3),0))</t>
  </si>
  <si>
    <t>=IF(OR(AB$1="hide",$P145=""),0,ROUND(NL("SUM","G/L Entry","Amount","G/L Account No.",$P145,"Fund No.",$F$22,"Global Dimension 2 Code",$F$12,"Global Dimension 1 Code","@@"&amp;$I145,"Company=",$D$6,"Transaction Type",AB$4,"Posting Date",AB$3),0))</t>
  </si>
  <si>
    <t>=IF(OR(AD$1="hide",$P145=""),0,ROUND(NL("SUM","G/L Entry","Amount","G/L Account No.",$P145,"Fund No.",$F$22,"Global Dimension 2 Code",$F$12,"Global Dimension 1 Code","@@"&amp;$I145,"Company=",$D$6,"Transaction Type",AD$4,"Posting Date",AD$3),0))</t>
  </si>
  <si>
    <t>=IF(OR(AF$1="hide",$P145=""),0,ROUND(NL("SUM","G/L Entry","Amount","G/L Account No.",$P145,"Fund No.",$F$22,"Global Dimension 2 Code",$F$12,"Global Dimension 1 Code","@@"&amp;$I145,"Company=",$D$6,"Transaction Type",AF$4,"Posting Date",AF$3),0))</t>
  </si>
  <si>
    <t>=IF(OR(AH$1="hide",$P145=""),0,(ROUND(NL("SUM","G/L Entry","Amount","G/L Account No.",$P145,"Fund No.",$F$22,"Global Dimension 2 Code",$F$12,"Global Dimension 1 Code","@@"&amp;$I145,"Company=",$D$6,"Transaction Type",AH$4,"Posting Date",AH$3),0)))</t>
  </si>
  <si>
    <t>=IF(ISERROR(AH145+AJ145),0,(AH145+AJ145))</t>
  </si>
  <si>
    <t>=IF($F$13="yes",0,IF($P145="",0,ROUND(NL("SUM","G/L Budget Entry","Amount","Fund No.",$F$22,"G/L Account No.",$P145,"Company=",$D$6,"Global Dimension 1 Code","@@"&amp;$I145,"Global Dimension 2 Code",$F$12,"Date",$AN$3),0)))</t>
  </si>
  <si>
    <t>=IF($F$13="YES",AF145,AN145)</t>
  </si>
  <si>
    <t>=ABS(SUMIF(V145:AP145,"&gt;0")-SUMIF(V145:AP145,"&lt;0"))</t>
  </si>
  <si>
    <t>=IF(AQ146=0,"Hide","Show")</t>
  </si>
  <si>
    <t>=I145</t>
  </si>
  <si>
    <t>="546099"</t>
  </si>
  <si>
    <t>=IF(I146="","500000 51800",K146&amp;" "&amp;I146)</t>
  </si>
  <si>
    <t>=K146</t>
  </si>
  <si>
    <t>=IF($P146="","",NL("Rows","G/L Account","Name","No.",$P146,"Company=",$D$6))</t>
  </si>
  <si>
    <t>=IF($P146="",0,ROUND(NL("SUM","G/L Entry","Amount","G/L Account No.",$P146,"Fund No.",$F$22,"Global Dimension 2 Code",$F$12,"Global Dimension 1 Code","@@"&amp;$I146,"Company=",$D$6,"Transaction Type",T$4,"Posting Date",T$3),0))</t>
  </si>
  <si>
    <t>=IF(OR(V$1="hide",$P146=""),0,ROUND(NL("SUM","G/L Entry","Amount","G/L Account No.",$P146,"Fund No.",$F$22,"Global Dimension 2 Code",$F$12,"Global Dimension 1 Code","@@"&amp;$I146,"Company=",$D$6,"Transaction Type",V$4,"Posting Date",V$3),0))</t>
  </si>
  <si>
    <t>=IF(OR(X$1="hide",$P146=""),0,ROUND(NL("SUM","G/L Entry","Amount","G/L Account No.",$P146,"Fund No.",$F$22,"Global Dimension 2 Code",$F$12,"Global Dimension 1 Code","@@"&amp;$I146,"Company=",$D$6,"Transaction Type",X$4,"Posting Date",X$3),0))</t>
  </si>
  <si>
    <t>=IF(OR(Z$1="hide",$P146=""),0,ROUND(NL("SUM","G/L Entry","Amount","G/L Account No.",$P146,"Fund No.",$F$22,"Global Dimension 2 Code",$F$12,"Global Dimension 1 Code","@@"&amp;$I146,"Company=",$D$6,"Transaction Type",Z$4,"Posting Date",Z$3),0))</t>
  </si>
  <si>
    <t>=IF(OR(AB$1="hide",$P146=""),0,ROUND(NL("SUM","G/L Entry","Amount","G/L Account No.",$P146,"Fund No.",$F$22,"Global Dimension 2 Code",$F$12,"Global Dimension 1 Code","@@"&amp;$I146,"Company=",$D$6,"Transaction Type",AB$4,"Posting Date",AB$3),0))</t>
  </si>
  <si>
    <t>=IF(OR(AD$1="hide",$P146=""),0,ROUND(NL("SUM","G/L Entry","Amount","G/L Account No.",$P146,"Fund No.",$F$22,"Global Dimension 2 Code",$F$12,"Global Dimension 1 Code","@@"&amp;$I146,"Company=",$D$6,"Transaction Type",AD$4,"Posting Date",AD$3),0))</t>
  </si>
  <si>
    <t>=IF(OR(AF$1="hide",$P146=""),0,ROUND(NL("SUM","G/L Entry","Amount","G/L Account No.",$P146,"Fund No.",$F$22,"Global Dimension 2 Code",$F$12,"Global Dimension 1 Code","@@"&amp;$I146,"Company=",$D$6,"Transaction Type",AF$4,"Posting Date",AF$3),0))</t>
  </si>
  <si>
    <t>=IF(OR(AH$1="hide",$P146=""),0,(ROUND(NL("SUM","G/L Entry","Amount","G/L Account No.",$P146,"Fund No.",$F$22,"Global Dimension 2 Code",$F$12,"Global Dimension 1 Code","@@"&amp;$I146,"Company=",$D$6,"Transaction Type",AH$4,"Posting Date",AH$3),0)))</t>
  </si>
  <si>
    <t>=IF(ISERROR(AH146+AJ146),0,(AH146+AJ146))</t>
  </si>
  <si>
    <t>=IF($F$13="yes",0,IF($P146="",0,ROUND(NL("SUM","G/L Budget Entry","Amount","Fund No.",$F$22,"G/L Account No.",$P146,"Company=",$D$6,"Global Dimension 1 Code","@@"&amp;$I146,"Global Dimension 2 Code",$F$12,"Date",$AN$3),0)))</t>
  </si>
  <si>
    <t>=IF($F$13="YES",AF146,AN146)</t>
  </si>
  <si>
    <t>=ABS(SUMIF(V146:AP146,"&gt;0")-SUMIF(V146:AP146,"&lt;0"))</t>
  </si>
  <si>
    <t>=IF(AQ147=0,"Hide","Show")</t>
  </si>
  <si>
    <t>=I146</t>
  </si>
  <si>
    <t>="546130"</t>
  </si>
  <si>
    <t>=IF(I147="","500000 51800",K147&amp;" "&amp;I147)</t>
  </si>
  <si>
    <t>=K147</t>
  </si>
  <si>
    <t>=IF($P147="","",NL("Rows","G/L Account","Name","No.",$P147,"Company=",$D$6))</t>
  </si>
  <si>
    <t>=IF($P147="",0,ROUND(NL("SUM","G/L Entry","Amount","G/L Account No.",$P147,"Fund No.",$F$22,"Global Dimension 2 Code",$F$12,"Global Dimension 1 Code","@@"&amp;$I147,"Company=",$D$6,"Transaction Type",T$4,"Posting Date",T$3),0))</t>
  </si>
  <si>
    <t>=IF(OR(V$1="hide",$P147=""),0,ROUND(NL("SUM","G/L Entry","Amount","G/L Account No.",$P147,"Fund No.",$F$22,"Global Dimension 2 Code",$F$12,"Global Dimension 1 Code","@@"&amp;$I147,"Company=",$D$6,"Transaction Type",V$4,"Posting Date",V$3),0))</t>
  </si>
  <si>
    <t>=IF(OR(X$1="hide",$P147=""),0,ROUND(NL("SUM","G/L Entry","Amount","G/L Account No.",$P147,"Fund No.",$F$22,"Global Dimension 2 Code",$F$12,"Global Dimension 1 Code","@@"&amp;$I147,"Company=",$D$6,"Transaction Type",X$4,"Posting Date",X$3),0))</t>
  </si>
  <si>
    <t>=IF(OR(Z$1="hide",$P147=""),0,ROUND(NL("SUM","G/L Entry","Amount","G/L Account No.",$P147,"Fund No.",$F$22,"Global Dimension 2 Code",$F$12,"Global Dimension 1 Code","@@"&amp;$I147,"Company=",$D$6,"Transaction Type",Z$4,"Posting Date",Z$3),0))</t>
  </si>
  <si>
    <t>=IF(OR(AB$1="hide",$P147=""),0,ROUND(NL("SUM","G/L Entry","Amount","G/L Account No.",$P147,"Fund No.",$F$22,"Global Dimension 2 Code",$F$12,"Global Dimension 1 Code","@@"&amp;$I147,"Company=",$D$6,"Transaction Type",AB$4,"Posting Date",AB$3),0))</t>
  </si>
  <si>
    <t>=IF(OR(AD$1="hide",$P147=""),0,ROUND(NL("SUM","G/L Entry","Amount","G/L Account No.",$P147,"Fund No.",$F$22,"Global Dimension 2 Code",$F$12,"Global Dimension 1 Code","@@"&amp;$I147,"Company=",$D$6,"Transaction Type",AD$4,"Posting Date",AD$3),0))</t>
  </si>
  <si>
    <t>=IF(OR(AF$1="hide",$P147=""),0,ROUND(NL("SUM","G/L Entry","Amount","G/L Account No.",$P147,"Fund No.",$F$22,"Global Dimension 2 Code",$F$12,"Global Dimension 1 Code","@@"&amp;$I147,"Company=",$D$6,"Transaction Type",AF$4,"Posting Date",AF$3),0))</t>
  </si>
  <si>
    <t>=IF(OR(AH$1="hide",$P147=""),0,(ROUND(NL("SUM","G/L Entry","Amount","G/L Account No.",$P147,"Fund No.",$F$22,"Global Dimension 2 Code",$F$12,"Global Dimension 1 Code","@@"&amp;$I147,"Company=",$D$6,"Transaction Type",AH$4,"Posting Date",AH$3),0)))</t>
  </si>
  <si>
    <t>=IF(ISERROR(AH147+AJ147),0,(AH147+AJ147))</t>
  </si>
  <si>
    <t>=IF($F$13="yes",0,IF($P147="",0,ROUND(NL("SUM","G/L Budget Entry","Amount","Fund No.",$F$22,"G/L Account No.",$P147,"Company=",$D$6,"Global Dimension 1 Code","@@"&amp;$I147,"Global Dimension 2 Code",$F$12,"Date",$AN$3),0)))</t>
  </si>
  <si>
    <t>=IF($F$13="YES",AF147,AN147)</t>
  </si>
  <si>
    <t>=ABS(SUMIF(V147:AP147,"&gt;0")-SUMIF(V147:AP147,"&lt;0"))</t>
  </si>
  <si>
    <t>=IF(AQ148=0,"Hide","Show")</t>
  </si>
  <si>
    <t>=I147</t>
  </si>
  <si>
    <t>="546131"</t>
  </si>
  <si>
    <t>=IF(I148="","500000 51800",K148&amp;" "&amp;I148)</t>
  </si>
  <si>
    <t>=K148</t>
  </si>
  <si>
    <t>=IF($P148="","",NL("Rows","G/L Account","Name","No.",$P148,"Company=",$D$6))</t>
  </si>
  <si>
    <t>=IF($P148="",0,ROUND(NL("SUM","G/L Entry","Amount","G/L Account No.",$P148,"Fund No.",$F$22,"Global Dimension 2 Code",$F$12,"Global Dimension 1 Code","@@"&amp;$I148,"Company=",$D$6,"Transaction Type",T$4,"Posting Date",T$3),0))</t>
  </si>
  <si>
    <t>=IF(OR(V$1="hide",$P148=""),0,ROUND(NL("SUM","G/L Entry","Amount","G/L Account No.",$P148,"Fund No.",$F$22,"Global Dimension 2 Code",$F$12,"Global Dimension 1 Code","@@"&amp;$I148,"Company=",$D$6,"Transaction Type",V$4,"Posting Date",V$3),0))</t>
  </si>
  <si>
    <t>=IF(OR(X$1="hide",$P148=""),0,ROUND(NL("SUM","G/L Entry","Amount","G/L Account No.",$P148,"Fund No.",$F$22,"Global Dimension 2 Code",$F$12,"Global Dimension 1 Code","@@"&amp;$I148,"Company=",$D$6,"Transaction Type",X$4,"Posting Date",X$3),0))</t>
  </si>
  <si>
    <t>=IF(OR(Z$1="hide",$P148=""),0,ROUND(NL("SUM","G/L Entry","Amount","G/L Account No.",$P148,"Fund No.",$F$22,"Global Dimension 2 Code",$F$12,"Global Dimension 1 Code","@@"&amp;$I148,"Company=",$D$6,"Transaction Type",Z$4,"Posting Date",Z$3),0))</t>
  </si>
  <si>
    <t>=IF(OR(AB$1="hide",$P148=""),0,ROUND(NL("SUM","G/L Entry","Amount","G/L Account No.",$P148,"Fund No.",$F$22,"Global Dimension 2 Code",$F$12,"Global Dimension 1 Code","@@"&amp;$I148,"Company=",$D$6,"Transaction Type",AB$4,"Posting Date",AB$3),0))</t>
  </si>
  <si>
    <t>=IF(OR(AD$1="hide",$P148=""),0,ROUND(NL("SUM","G/L Entry","Amount","G/L Account No.",$P148,"Fund No.",$F$22,"Global Dimension 2 Code",$F$12,"Global Dimension 1 Code","@@"&amp;$I148,"Company=",$D$6,"Transaction Type",AD$4,"Posting Date",AD$3),0))</t>
  </si>
  <si>
    <t>=IF(OR(AF$1="hide",$P148=""),0,ROUND(NL("SUM","G/L Entry","Amount","G/L Account No.",$P148,"Fund No.",$F$22,"Global Dimension 2 Code",$F$12,"Global Dimension 1 Code","@@"&amp;$I148,"Company=",$D$6,"Transaction Type",AF$4,"Posting Date",AF$3),0))</t>
  </si>
  <si>
    <t>=IF(OR(AH$1="hide",$P148=""),0,(ROUND(NL("SUM","G/L Entry","Amount","G/L Account No.",$P148,"Fund No.",$F$22,"Global Dimension 2 Code",$F$12,"Global Dimension 1 Code","@@"&amp;$I148,"Company=",$D$6,"Transaction Type",AH$4,"Posting Date",AH$3),0)))</t>
  </si>
  <si>
    <t>=IF(ISERROR(AH148+AJ148),0,(AH148+AJ148))</t>
  </si>
  <si>
    <t>=IF($F$13="yes",0,IF($P148="",0,ROUND(NL("SUM","G/L Budget Entry","Amount","Fund No.",$F$22,"G/L Account No.",$P148,"Company=",$D$6,"Global Dimension 1 Code","@@"&amp;$I148,"Global Dimension 2 Code",$F$12,"Date",$AN$3),0)))</t>
  </si>
  <si>
    <t>=IF($F$13="YES",AF148,AN148)</t>
  </si>
  <si>
    <t>=ABS(SUMIF(V148:AP148,"&gt;0")-SUMIF(V148:AP148,"&lt;0"))</t>
  </si>
  <si>
    <t>=IF(AQ149=0,"Hide","Show")</t>
  </si>
  <si>
    <t>=I148</t>
  </si>
  <si>
    <t>="546301"</t>
  </si>
  <si>
    <t>=IF(I149="","500000 51800",K149&amp;" "&amp;I149)</t>
  </si>
  <si>
    <t>=K149</t>
  </si>
  <si>
    <t>=IF($P149="","",NL("Rows","G/L Account","Name","No.",$P149,"Company=",$D$6))</t>
  </si>
  <si>
    <t>=IF($P149="",0,ROUND(NL("SUM","G/L Entry","Amount","G/L Account No.",$P149,"Fund No.",$F$22,"Global Dimension 2 Code",$F$12,"Global Dimension 1 Code","@@"&amp;$I149,"Company=",$D$6,"Transaction Type",T$4,"Posting Date",T$3),0))</t>
  </si>
  <si>
    <t>=IF(OR(V$1="hide",$P149=""),0,ROUND(NL("SUM","G/L Entry","Amount","G/L Account No.",$P149,"Fund No.",$F$22,"Global Dimension 2 Code",$F$12,"Global Dimension 1 Code","@@"&amp;$I149,"Company=",$D$6,"Transaction Type",V$4,"Posting Date",V$3),0))</t>
  </si>
  <si>
    <t>=IF(OR(X$1="hide",$P149=""),0,ROUND(NL("SUM","G/L Entry","Amount","G/L Account No.",$P149,"Fund No.",$F$22,"Global Dimension 2 Code",$F$12,"Global Dimension 1 Code","@@"&amp;$I149,"Company=",$D$6,"Transaction Type",X$4,"Posting Date",X$3),0))</t>
  </si>
  <si>
    <t>=IF(OR(Z$1="hide",$P149=""),0,ROUND(NL("SUM","G/L Entry","Amount","G/L Account No.",$P149,"Fund No.",$F$22,"Global Dimension 2 Code",$F$12,"Global Dimension 1 Code","@@"&amp;$I149,"Company=",$D$6,"Transaction Type",Z$4,"Posting Date",Z$3),0))</t>
  </si>
  <si>
    <t>=IF(OR(AB$1="hide",$P149=""),0,ROUND(NL("SUM","G/L Entry","Amount","G/L Account No.",$P149,"Fund No.",$F$22,"Global Dimension 2 Code",$F$12,"Global Dimension 1 Code","@@"&amp;$I149,"Company=",$D$6,"Transaction Type",AB$4,"Posting Date",AB$3),0))</t>
  </si>
  <si>
    <t>=IF(OR(AD$1="hide",$P149=""),0,ROUND(NL("SUM","G/L Entry","Amount","G/L Account No.",$P149,"Fund No.",$F$22,"Global Dimension 2 Code",$F$12,"Global Dimension 1 Code","@@"&amp;$I149,"Company=",$D$6,"Transaction Type",AD$4,"Posting Date",AD$3),0))</t>
  </si>
  <si>
    <t>=IF(OR(AF$1="hide",$P149=""),0,ROUND(NL("SUM","G/L Entry","Amount","G/L Account No.",$P149,"Fund No.",$F$22,"Global Dimension 2 Code",$F$12,"Global Dimension 1 Code","@@"&amp;$I149,"Company=",$D$6,"Transaction Type",AF$4,"Posting Date",AF$3),0))</t>
  </si>
  <si>
    <t>=IF(OR(AH$1="hide",$P149=""),0,(ROUND(NL("SUM","G/L Entry","Amount","G/L Account No.",$P149,"Fund No.",$F$22,"Global Dimension 2 Code",$F$12,"Global Dimension 1 Code","@@"&amp;$I149,"Company=",$D$6,"Transaction Type",AH$4,"Posting Date",AH$3),0)))</t>
  </si>
  <si>
    <t>=IF(ISERROR(AH149+AJ149),0,(AH149+AJ149))</t>
  </si>
  <si>
    <t>=IF($F$13="yes",0,IF($P149="",0,ROUND(NL("SUM","G/L Budget Entry","Amount","Fund No.",$F$22,"G/L Account No.",$P149,"Company=",$D$6,"Global Dimension 1 Code","@@"&amp;$I149,"Global Dimension 2 Code",$F$12,"Date",$AN$3),0)))</t>
  </si>
  <si>
    <t>=IF($F$13="YES",AF149,AN149)</t>
  </si>
  <si>
    <t>=ABS(SUMIF(V149:AP149,"&gt;0")-SUMIF(V149:AP149,"&lt;0"))</t>
  </si>
  <si>
    <t>=IF(AQ150=0,"Hide","Show")</t>
  </si>
  <si>
    <t>=I149</t>
  </si>
  <si>
    <t>=IF(I150="","500000 51800",K150&amp;" "&amp;I150)</t>
  </si>
  <si>
    <t>=K150</t>
  </si>
  <si>
    <t>=IF($P150="","",NL("Rows","G/L Account","Name","No.",$P150,"Company=",$D$6))</t>
  </si>
  <si>
    <t>=IF($P150="",0,ROUND(NL("SUM","G/L Entry","Amount","G/L Account No.",$P150,"Fund No.",$F$22,"Global Dimension 2 Code",$F$12,"Global Dimension 1 Code","@@"&amp;$I150,"Company=",$D$6,"Transaction Type",T$4,"Posting Date",T$3),0))</t>
  </si>
  <si>
    <t>=IF(OR(V$1="hide",$P150=""),0,ROUND(NL("SUM","G/L Entry","Amount","G/L Account No.",$P150,"Fund No.",$F$22,"Global Dimension 2 Code",$F$12,"Global Dimension 1 Code","@@"&amp;$I150,"Company=",$D$6,"Transaction Type",V$4,"Posting Date",V$3),0))</t>
  </si>
  <si>
    <t>=IF(OR(X$1="hide",$P150=""),0,ROUND(NL("SUM","G/L Entry","Amount","G/L Account No.",$P150,"Fund No.",$F$22,"Global Dimension 2 Code",$F$12,"Global Dimension 1 Code","@@"&amp;$I150,"Company=",$D$6,"Transaction Type",X$4,"Posting Date",X$3),0))</t>
  </si>
  <si>
    <t>=IF(OR(Z$1="hide",$P150=""),0,ROUND(NL("SUM","G/L Entry","Amount","G/L Account No.",$P150,"Fund No.",$F$22,"Global Dimension 2 Code",$F$12,"Global Dimension 1 Code","@@"&amp;$I150,"Company=",$D$6,"Transaction Type",Z$4,"Posting Date",Z$3),0))</t>
  </si>
  <si>
    <t>=IF(OR(AB$1="hide",$P150=""),0,ROUND(NL("SUM","G/L Entry","Amount","G/L Account No.",$P150,"Fund No.",$F$22,"Global Dimension 2 Code",$F$12,"Global Dimension 1 Code","@@"&amp;$I150,"Company=",$D$6,"Transaction Type",AB$4,"Posting Date",AB$3),0))</t>
  </si>
  <si>
    <t>=IF(OR(AD$1="hide",$P150=""),0,ROUND(NL("SUM","G/L Entry","Amount","G/L Account No.",$P150,"Fund No.",$F$22,"Global Dimension 2 Code",$F$12,"Global Dimension 1 Code","@@"&amp;$I150,"Company=",$D$6,"Transaction Type",AD$4,"Posting Date",AD$3),0))</t>
  </si>
  <si>
    <t>=IF(OR(AF$1="hide",$P150=""),0,ROUND(NL("SUM","G/L Entry","Amount","G/L Account No.",$P150,"Fund No.",$F$22,"Global Dimension 2 Code",$F$12,"Global Dimension 1 Code","@@"&amp;$I150,"Company=",$D$6,"Transaction Type",AF$4,"Posting Date",AF$3),0))</t>
  </si>
  <si>
    <t>=IF(OR(AH$1="hide",$P150=""),0,(ROUND(NL("SUM","G/L Entry","Amount","G/L Account No.",$P150,"Fund No.",$F$22,"Global Dimension 2 Code",$F$12,"Global Dimension 1 Code","@@"&amp;$I150,"Company=",$D$6,"Transaction Type",AH$4,"Posting Date",AH$3),0)))</t>
  </si>
  <si>
    <t>=IF(ISERROR(AH150+AJ150),0,(AH150+AJ150))</t>
  </si>
  <si>
    <t>=IF($F$13="yes",0,IF($P150="",0,ROUND(NL("SUM","G/L Budget Entry","Amount","Fund No.",$F$22,"G/L Account No.",$P150,"Company=",$D$6,"Global Dimension 1 Code","@@"&amp;$I150,"Global Dimension 2 Code",$F$12,"Date",$AN$3),0)))</t>
  </si>
  <si>
    <t>=IF($F$13="YES",AF150,AN150)</t>
  </si>
  <si>
    <t>=ABS(SUMIF(V150:AP150,"&gt;0")-SUMIF(V150:AP150,"&lt;0"))</t>
  </si>
  <si>
    <t>=IF(AQ151=0,"Hide","Show")</t>
  </si>
  <si>
    <t>=I150</t>
  </si>
  <si>
    <t>="549015"</t>
  </si>
  <si>
    <t>=IF(I151="","500000 51800",K151&amp;" "&amp;I151)</t>
  </si>
  <si>
    <t>=K151</t>
  </si>
  <si>
    <t>=IF($P151="","",NL("Rows","G/L Account","Name","No.",$P151,"Company=",$D$6))</t>
  </si>
  <si>
    <t>=IF($P151="",0,ROUND(NL("SUM","G/L Entry","Amount","G/L Account No.",$P151,"Fund No.",$F$22,"Global Dimension 2 Code",$F$12,"Global Dimension 1 Code","@@"&amp;$I151,"Company=",$D$6,"Transaction Type",T$4,"Posting Date",T$3),0))</t>
  </si>
  <si>
    <t>=IF(OR(V$1="hide",$P151=""),0,ROUND(NL("SUM","G/L Entry","Amount","G/L Account No.",$P151,"Fund No.",$F$22,"Global Dimension 2 Code",$F$12,"Global Dimension 1 Code","@@"&amp;$I151,"Company=",$D$6,"Transaction Type",V$4,"Posting Date",V$3),0))</t>
  </si>
  <si>
    <t>=IF(OR(X$1="hide",$P151=""),0,ROUND(NL("SUM","G/L Entry","Amount","G/L Account No.",$P151,"Fund No.",$F$22,"Global Dimension 2 Code",$F$12,"Global Dimension 1 Code","@@"&amp;$I151,"Company=",$D$6,"Transaction Type",X$4,"Posting Date",X$3),0))</t>
  </si>
  <si>
    <t>=IF(OR(Z$1="hide",$P151=""),0,ROUND(NL("SUM","G/L Entry","Amount","G/L Account No.",$P151,"Fund No.",$F$22,"Global Dimension 2 Code",$F$12,"Global Dimension 1 Code","@@"&amp;$I151,"Company=",$D$6,"Transaction Type",Z$4,"Posting Date",Z$3),0))</t>
  </si>
  <si>
    <t>=IF(OR(AB$1="hide",$P151=""),0,ROUND(NL("SUM","G/L Entry","Amount","G/L Account No.",$P151,"Fund No.",$F$22,"Global Dimension 2 Code",$F$12,"Global Dimension 1 Code","@@"&amp;$I151,"Company=",$D$6,"Transaction Type",AB$4,"Posting Date",AB$3),0))</t>
  </si>
  <si>
    <t>=IF(OR(AD$1="hide",$P151=""),0,ROUND(NL("SUM","G/L Entry","Amount","G/L Account No.",$P151,"Fund No.",$F$22,"Global Dimension 2 Code",$F$12,"Global Dimension 1 Code","@@"&amp;$I151,"Company=",$D$6,"Transaction Type",AD$4,"Posting Date",AD$3),0))</t>
  </si>
  <si>
    <t>=IF(OR(AF$1="hide",$P151=""),0,ROUND(NL("SUM","G/L Entry","Amount","G/L Account No.",$P151,"Fund No.",$F$22,"Global Dimension 2 Code",$F$12,"Global Dimension 1 Code","@@"&amp;$I151,"Company=",$D$6,"Transaction Type",AF$4,"Posting Date",AF$3),0))</t>
  </si>
  <si>
    <t>=IF(OR(AH$1="hide",$P151=""),0,(ROUND(NL("SUM","G/L Entry","Amount","G/L Account No.",$P151,"Fund No.",$F$22,"Global Dimension 2 Code",$F$12,"Global Dimension 1 Code","@@"&amp;$I151,"Company=",$D$6,"Transaction Type",AH$4,"Posting Date",AH$3),0)))</t>
  </si>
  <si>
    <t>=IF(ISERROR(AH151+AJ151),0,(AH151+AJ151))</t>
  </si>
  <si>
    <t>=IF($F$13="yes",0,IF($P151="",0,ROUND(NL("SUM","G/L Budget Entry","Amount","Fund No.",$F$22,"G/L Account No.",$P151,"Company=",$D$6,"Global Dimension 1 Code","@@"&amp;$I151,"Global Dimension 2 Code",$F$12,"Date",$AN$3),0)))</t>
  </si>
  <si>
    <t>=IF($F$13="YES",AF151,AN151)</t>
  </si>
  <si>
    <t>=ABS(SUMIF(V151:AP151,"&gt;0")-SUMIF(V151:AP151,"&lt;0"))</t>
  </si>
  <si>
    <t>=IF(AQ152=0,"Hide","Show")</t>
  </si>
  <si>
    <t>=I151</t>
  </si>
  <si>
    <t>=IF(I152="","500000 51800",K152&amp;" "&amp;I152)</t>
  </si>
  <si>
    <t>=K152</t>
  </si>
  <si>
    <t>=IF($P152="","",NL("Rows","G/L Account","Name","No.",$P152,"Company=",$D$6))</t>
  </si>
  <si>
    <t>=IF($P152="",0,ROUND(NL("SUM","G/L Entry","Amount","G/L Account No.",$P152,"Fund No.",$F$22,"Global Dimension 2 Code",$F$12,"Global Dimension 1 Code","@@"&amp;$I152,"Company=",$D$6,"Transaction Type",T$4,"Posting Date",T$3),0))</t>
  </si>
  <si>
    <t>=IF(OR(V$1="hide",$P152=""),0,ROUND(NL("SUM","G/L Entry","Amount","G/L Account No.",$P152,"Fund No.",$F$22,"Global Dimension 2 Code",$F$12,"Global Dimension 1 Code","@@"&amp;$I152,"Company=",$D$6,"Transaction Type",V$4,"Posting Date",V$3),0))</t>
  </si>
  <si>
    <t>=IF(OR(X$1="hide",$P152=""),0,ROUND(NL("SUM","G/L Entry","Amount","G/L Account No.",$P152,"Fund No.",$F$22,"Global Dimension 2 Code",$F$12,"Global Dimension 1 Code","@@"&amp;$I152,"Company=",$D$6,"Transaction Type",X$4,"Posting Date",X$3),0))</t>
  </si>
  <si>
    <t>=IF(OR(Z$1="hide",$P152=""),0,ROUND(NL("SUM","G/L Entry","Amount","G/L Account No.",$P152,"Fund No.",$F$22,"Global Dimension 2 Code",$F$12,"Global Dimension 1 Code","@@"&amp;$I152,"Company=",$D$6,"Transaction Type",Z$4,"Posting Date",Z$3),0))</t>
  </si>
  <si>
    <t>=IF(OR(AB$1="hide",$P152=""),0,ROUND(NL("SUM","G/L Entry","Amount","G/L Account No.",$P152,"Fund No.",$F$22,"Global Dimension 2 Code",$F$12,"Global Dimension 1 Code","@@"&amp;$I152,"Company=",$D$6,"Transaction Type",AB$4,"Posting Date",AB$3),0))</t>
  </si>
  <si>
    <t>=IF(OR(AD$1="hide",$P152=""),0,ROUND(NL("SUM","G/L Entry","Amount","G/L Account No.",$P152,"Fund No.",$F$22,"Global Dimension 2 Code",$F$12,"Global Dimension 1 Code","@@"&amp;$I152,"Company=",$D$6,"Transaction Type",AD$4,"Posting Date",AD$3),0))</t>
  </si>
  <si>
    <t>=IF(OR(AF$1="hide",$P152=""),0,ROUND(NL("SUM","G/L Entry","Amount","G/L Account No.",$P152,"Fund No.",$F$22,"Global Dimension 2 Code",$F$12,"Global Dimension 1 Code","@@"&amp;$I152,"Company=",$D$6,"Transaction Type",AF$4,"Posting Date",AF$3),0))</t>
  </si>
  <si>
    <t>=IF(OR(AH$1="hide",$P152=""),0,(ROUND(NL("SUM","G/L Entry","Amount","G/L Account No.",$P152,"Fund No.",$F$22,"Global Dimension 2 Code",$F$12,"Global Dimension 1 Code","@@"&amp;$I152,"Company=",$D$6,"Transaction Type",AH$4,"Posting Date",AH$3),0)))</t>
  </si>
  <si>
    <t>=IF(ISERROR(AH152+AJ152),0,(AH152+AJ152))</t>
  </si>
  <si>
    <t>=IF($F$13="yes",0,IF($P152="",0,ROUND(NL("SUM","G/L Budget Entry","Amount","Fund No.",$F$22,"G/L Account No.",$P152,"Company=",$D$6,"Global Dimension 1 Code","@@"&amp;$I152,"Global Dimension 2 Code",$F$12,"Date",$AN$3),0)))</t>
  </si>
  <si>
    <t>=IF($F$13="YES",AF152,AN152)</t>
  </si>
  <si>
    <t>=ABS(SUMIF(V152:AP152,"&gt;0")-SUMIF(V152:AP152,"&lt;0"))</t>
  </si>
  <si>
    <t>=I153</t>
  </si>
  <si>
    <t>="Total " &amp;($R132)</t>
  </si>
  <si>
    <t>=SUM(T133:T153)</t>
  </si>
  <si>
    <t>=SUM(V133:V153)</t>
  </si>
  <si>
    <t>=SUM(X133:X153)</t>
  </si>
  <si>
    <t>=SUM(Z133:Z153)</t>
  </si>
  <si>
    <t>=SUM(AB133:AB153)</t>
  </si>
  <si>
    <t>=SUM(AD133:AD153)</t>
  </si>
  <si>
    <t>=SUM(AF133:AF153)</t>
  </si>
  <si>
    <t>=SUM(AH133:AH153)</t>
  </si>
  <si>
    <t>=SUM(AJ133:AJ153)</t>
  </si>
  <si>
    <t>=SUM(AL133:AL153)</t>
  </si>
  <si>
    <t>=SUM(AN133:AN153)</t>
  </si>
  <si>
    <t>=SUM(AP133:AP153)</t>
  </si>
  <si>
    <t>=ABS(SUMIF(V154:AP154,"&gt;0")-SUMIF(V154:AP154,"&lt;0"))</t>
  </si>
  <si>
    <t>=SUM(T132:T153)</t>
  </si>
  <si>
    <t>=SUM(V132:V153)</t>
  </si>
  <si>
    <t>=SUM(X132:X153)</t>
  </si>
  <si>
    <t>=SUM(Z132:Z153)</t>
  </si>
  <si>
    <t>=SUM(AB132:AB153)</t>
  </si>
  <si>
    <t>=SUM(AD132:AD153)</t>
  </si>
  <si>
    <t>=SUM(AF132:AF153)</t>
  </si>
  <si>
    <t>=SUM(AH132:AH153)</t>
  </si>
  <si>
    <t>=SUM(AJ132:AJ153)</t>
  </si>
  <si>
    <t>=SUM(AL132:AL153)</t>
  </si>
  <si>
    <t>=SUM(AN132:AN153)</t>
  </si>
  <si>
    <t>=SUM(AP132:AP153)</t>
  </si>
  <si>
    <t>=B154</t>
  </si>
  <si>
    <t>=I154</t>
  </si>
  <si>
    <t>="53903"</t>
  </si>
  <si>
    <t>=IF(AQ166=0,"Hide","Show")</t>
  </si>
  <si>
    <t>=I156</t>
  </si>
  <si>
    <t>=IF($I157="","",(NL("Rows","Dimension Value","Name","Dimension Code",$H156,"Code",$I157,"Company=",$D$6)))</t>
  </si>
  <si>
    <t>=IF(AQ158=0,"Hide","Show")</t>
  </si>
  <si>
    <t>=I157</t>
  </si>
  <si>
    <t>=NL("Rows", NL("Union", NL("allunique","G/L Entry",$E$20,$E$20,$E$105,$E$22,$F$22,$E$21,"@@"&amp;I158,"Company=",$D$6,"Posting Date",$J$5),NL("allunique","G/L Budget Entry",$E$20,$E$20,$E$105,$E$24,$F$22,$E$21,"@@"&amp;I158,"Company=",$D$6,"Date",$J$6)))</t>
  </si>
  <si>
    <t>=IF(I158="","500000 51800",K158&amp;" "&amp;I158)</t>
  </si>
  <si>
    <t>=K158</t>
  </si>
  <si>
    <t>=IF($P158="","",NL("Rows","G/L Account","Name","No.",$P158,"Company=",$D$6))</t>
  </si>
  <si>
    <t>=IF($P158="",0,ROUND(NL("SUM","G/L Entry","Amount","G/L Account No.",$P158,"Fund No.",$F$22,"Global Dimension 2 Code",$F$12,"Global Dimension 1 Code","@@"&amp;$I158,"Company=",$D$6,"Transaction Type",T$4,"Posting Date",T$3),0))</t>
  </si>
  <si>
    <t>=IF(OR(V$1="hide",$P158=""),0,ROUND(NL("SUM","G/L Entry","Amount","G/L Account No.",$P158,"Fund No.",$F$22,"Global Dimension 2 Code",$F$12,"Global Dimension 1 Code","@@"&amp;$I158,"Company=",$D$6,"Transaction Type",V$4,"Posting Date",V$3),0))</t>
  </si>
  <si>
    <t>=IF(OR(X$1="hide",$P158=""),0,ROUND(NL("SUM","G/L Entry","Amount","G/L Account No.",$P158,"Fund No.",$F$22,"Global Dimension 2 Code",$F$12,"Global Dimension 1 Code","@@"&amp;$I158,"Company=",$D$6,"Transaction Type",X$4,"Posting Date",X$3),0))</t>
  </si>
  <si>
    <t>=IF(OR(Z$1="hide",$P158=""),0,ROUND(NL("SUM","G/L Entry","Amount","G/L Account No.",$P158,"Fund No.",$F$22,"Global Dimension 2 Code",$F$12,"Global Dimension 1 Code","@@"&amp;$I158,"Company=",$D$6,"Transaction Type",Z$4,"Posting Date",Z$3),0))</t>
  </si>
  <si>
    <t>=IF(OR(AB$1="hide",$P158=""),0,ROUND(NL("SUM","G/L Entry","Amount","G/L Account No.",$P158,"Fund No.",$F$22,"Global Dimension 2 Code",$F$12,"Global Dimension 1 Code","@@"&amp;$I158,"Company=",$D$6,"Transaction Type",AB$4,"Posting Date",AB$3),0))</t>
  </si>
  <si>
    <t>=IF(OR(AD$1="hide",$P158=""),0,ROUND(NL("SUM","G/L Entry","Amount","G/L Account No.",$P158,"Fund No.",$F$22,"Global Dimension 2 Code",$F$12,"Global Dimension 1 Code","@@"&amp;$I158,"Company=",$D$6,"Transaction Type",AD$4,"Posting Date",AD$3),0))</t>
  </si>
  <si>
    <t>=IF(OR(AF$1="hide",$P158=""),0,ROUND(NL("SUM","G/L Entry","Amount","G/L Account No.",$P158,"Fund No.",$F$22,"Global Dimension 2 Code",$F$12,"Global Dimension 1 Code","@@"&amp;$I158,"Company=",$D$6,"Transaction Type",AF$4,"Posting Date",AF$3),0))</t>
  </si>
  <si>
    <t>=IF(OR(AH$1="hide",$P158=""),0,(ROUND(NL("SUM","G/L Entry","Amount","G/L Account No.",$P158,"Fund No.",$F$22,"Global Dimension 2 Code",$F$12,"Global Dimension 1 Code","@@"&amp;$I158,"Company=",$D$6,"Transaction Type",AH$4,"Posting Date",AH$3),0)))</t>
  </si>
  <si>
    <t>=IF(ISERROR(AH158+AJ158),0,(AH158+AJ158))</t>
  </si>
  <si>
    <t>=IF($F$13="yes",0,IF($P158="",0,ROUND(NL("SUM","G/L Budget Entry","Amount","Fund No.",$F$22,"G/L Account No.",$P158,"Company=",$D$6,"Global Dimension 1 Code","@@"&amp;$I158,"Global Dimension 2 Code",$F$12,"Date",$AN$3),0)))</t>
  </si>
  <si>
    <t>=IF($F$13="YES",AF158,AN158)</t>
  </si>
  <si>
    <t>=ABS(SUMIF(V158:AP158,"&gt;0")-SUMIF(V158:AP158,"&lt;0"))</t>
  </si>
  <si>
    <t>=IF(AQ159=0,"Hide","Show")</t>
  </si>
  <si>
    <t>=I158</t>
  </si>
  <si>
    <t>="543013"</t>
  </si>
  <si>
    <t>=IF(I159="","500000 51800",K159&amp;" "&amp;I159)</t>
  </si>
  <si>
    <t>=K159</t>
  </si>
  <si>
    <t>=IF($P159="","",NL("Rows","G/L Account","Name","No.",$P159,"Company=",$D$6))</t>
  </si>
  <si>
    <t>=IF($P159="",0,ROUND(NL("SUM","G/L Entry","Amount","G/L Account No.",$P159,"Fund No.",$F$22,"Global Dimension 2 Code",$F$12,"Global Dimension 1 Code","@@"&amp;$I159,"Company=",$D$6,"Transaction Type",T$4,"Posting Date",T$3),0))</t>
  </si>
  <si>
    <t>=IF(OR(V$1="hide",$P159=""),0,ROUND(NL("SUM","G/L Entry","Amount","G/L Account No.",$P159,"Fund No.",$F$22,"Global Dimension 2 Code",$F$12,"Global Dimension 1 Code","@@"&amp;$I159,"Company=",$D$6,"Transaction Type",V$4,"Posting Date",V$3),0))</t>
  </si>
  <si>
    <t>=IF(OR(X$1="hide",$P159=""),0,ROUND(NL("SUM","G/L Entry","Amount","G/L Account No.",$P159,"Fund No.",$F$22,"Global Dimension 2 Code",$F$12,"Global Dimension 1 Code","@@"&amp;$I159,"Company=",$D$6,"Transaction Type",X$4,"Posting Date",X$3),0))</t>
  </si>
  <si>
    <t>=IF(OR(Z$1="hide",$P159=""),0,ROUND(NL("SUM","G/L Entry","Amount","G/L Account No.",$P159,"Fund No.",$F$22,"Global Dimension 2 Code",$F$12,"Global Dimension 1 Code","@@"&amp;$I159,"Company=",$D$6,"Transaction Type",Z$4,"Posting Date",Z$3),0))</t>
  </si>
  <si>
    <t>=IF(OR(AB$1="hide",$P159=""),0,ROUND(NL("SUM","G/L Entry","Amount","G/L Account No.",$P159,"Fund No.",$F$22,"Global Dimension 2 Code",$F$12,"Global Dimension 1 Code","@@"&amp;$I159,"Company=",$D$6,"Transaction Type",AB$4,"Posting Date",AB$3),0))</t>
  </si>
  <si>
    <t>=IF(OR(AD$1="hide",$P159=""),0,ROUND(NL("SUM","G/L Entry","Amount","G/L Account No.",$P159,"Fund No.",$F$22,"Global Dimension 2 Code",$F$12,"Global Dimension 1 Code","@@"&amp;$I159,"Company=",$D$6,"Transaction Type",AD$4,"Posting Date",AD$3),0))</t>
  </si>
  <si>
    <t>=IF(OR(AF$1="hide",$P159=""),0,ROUND(NL("SUM","G/L Entry","Amount","G/L Account No.",$P159,"Fund No.",$F$22,"Global Dimension 2 Code",$F$12,"Global Dimension 1 Code","@@"&amp;$I159,"Company=",$D$6,"Transaction Type",AF$4,"Posting Date",AF$3),0))</t>
  </si>
  <si>
    <t>=IF(OR(AH$1="hide",$P159=""),0,(ROUND(NL("SUM","G/L Entry","Amount","G/L Account No.",$P159,"Fund No.",$F$22,"Global Dimension 2 Code",$F$12,"Global Dimension 1 Code","@@"&amp;$I159,"Company=",$D$6,"Transaction Type",AH$4,"Posting Date",AH$3),0)))</t>
  </si>
  <si>
    <t>=IF(ISERROR(AH159+AJ159),0,(AH159+AJ159))</t>
  </si>
  <si>
    <t>=IF($F$13="yes",0,IF($P159="",0,ROUND(NL("SUM","G/L Budget Entry","Amount","Fund No.",$F$22,"G/L Account No.",$P159,"Company=",$D$6,"Global Dimension 1 Code","@@"&amp;$I159,"Global Dimension 2 Code",$F$12,"Date",$AN$3),0)))</t>
  </si>
  <si>
    <t>=IF($F$13="YES",AF159,AN159)</t>
  </si>
  <si>
    <t>=ABS(SUMIF(V159:AP159,"&gt;0")-SUMIF(V159:AP159,"&lt;0"))</t>
  </si>
  <si>
    <t>=IF(AQ160=0,"Hide","Show")</t>
  </si>
  <si>
    <t>=I159</t>
  </si>
  <si>
    <t>="543021"</t>
  </si>
  <si>
    <t>=IF(I160="","500000 51800",K160&amp;" "&amp;I160)</t>
  </si>
  <si>
    <t>=K160</t>
  </si>
  <si>
    <t>=IF($P160="","",NL("Rows","G/L Account","Name","No.",$P160,"Company=",$D$6))</t>
  </si>
  <si>
    <t>=IF($P160="",0,ROUND(NL("SUM","G/L Entry","Amount","G/L Account No.",$P160,"Fund No.",$F$22,"Global Dimension 2 Code",$F$12,"Global Dimension 1 Code","@@"&amp;$I160,"Company=",$D$6,"Transaction Type",T$4,"Posting Date",T$3),0))</t>
  </si>
  <si>
    <t>=IF(OR(V$1="hide",$P160=""),0,ROUND(NL("SUM","G/L Entry","Amount","G/L Account No.",$P160,"Fund No.",$F$22,"Global Dimension 2 Code",$F$12,"Global Dimension 1 Code","@@"&amp;$I160,"Company=",$D$6,"Transaction Type",V$4,"Posting Date",V$3),0))</t>
  </si>
  <si>
    <t>=IF(OR(X$1="hide",$P160=""),0,ROUND(NL("SUM","G/L Entry","Amount","G/L Account No.",$P160,"Fund No.",$F$22,"Global Dimension 2 Code",$F$12,"Global Dimension 1 Code","@@"&amp;$I160,"Company=",$D$6,"Transaction Type",X$4,"Posting Date",X$3),0))</t>
  </si>
  <si>
    <t>=IF(OR(Z$1="hide",$P160=""),0,ROUND(NL("SUM","G/L Entry","Amount","G/L Account No.",$P160,"Fund No.",$F$22,"Global Dimension 2 Code",$F$12,"Global Dimension 1 Code","@@"&amp;$I160,"Company=",$D$6,"Transaction Type",Z$4,"Posting Date",Z$3),0))</t>
  </si>
  <si>
    <t>=IF(OR(AB$1="hide",$P160=""),0,ROUND(NL("SUM","G/L Entry","Amount","G/L Account No.",$P160,"Fund No.",$F$22,"Global Dimension 2 Code",$F$12,"Global Dimension 1 Code","@@"&amp;$I160,"Company=",$D$6,"Transaction Type",AB$4,"Posting Date",AB$3),0))</t>
  </si>
  <si>
    <t>=IF(OR(AD$1="hide",$P160=""),0,ROUND(NL("SUM","G/L Entry","Amount","G/L Account No.",$P160,"Fund No.",$F$22,"Global Dimension 2 Code",$F$12,"Global Dimension 1 Code","@@"&amp;$I160,"Company=",$D$6,"Transaction Type",AD$4,"Posting Date",AD$3),0))</t>
  </si>
  <si>
    <t>=IF(OR(AF$1="hide",$P160=""),0,ROUND(NL("SUM","G/L Entry","Amount","G/L Account No.",$P160,"Fund No.",$F$22,"Global Dimension 2 Code",$F$12,"Global Dimension 1 Code","@@"&amp;$I160,"Company=",$D$6,"Transaction Type",AF$4,"Posting Date",AF$3),0))</t>
  </si>
  <si>
    <t>=IF(OR(AH$1="hide",$P160=""),0,(ROUND(NL("SUM","G/L Entry","Amount","G/L Account No.",$P160,"Fund No.",$F$22,"Global Dimension 2 Code",$F$12,"Global Dimension 1 Code","@@"&amp;$I160,"Company=",$D$6,"Transaction Type",AH$4,"Posting Date",AH$3),0)))</t>
  </si>
  <si>
    <t>=IF(ISERROR(AH160+AJ160),0,(AH160+AJ160))</t>
  </si>
  <si>
    <t>=IF($F$13="yes",0,IF($P160="",0,ROUND(NL("SUM","G/L Budget Entry","Amount","Fund No.",$F$22,"G/L Account No.",$P160,"Company=",$D$6,"Global Dimension 1 Code","@@"&amp;$I160,"Global Dimension 2 Code",$F$12,"Date",$AN$3),0)))</t>
  </si>
  <si>
    <t>=IF($F$13="YES",AF160,AN160)</t>
  </si>
  <si>
    <t>=ABS(SUMIF(V160:AP160,"&gt;0")-SUMIF(V160:AP160,"&lt;0"))</t>
  </si>
  <si>
    <t>=IF(AQ161=0,"Hide","Show")</t>
  </si>
  <si>
    <t>=I160</t>
  </si>
  <si>
    <t>="544006"</t>
  </si>
  <si>
    <t>=IF(I161="","500000 51800",K161&amp;" "&amp;I161)</t>
  </si>
  <si>
    <t>=K161</t>
  </si>
  <si>
    <t>=IF($P161="","",NL("Rows","G/L Account","Name","No.",$P161,"Company=",$D$6))</t>
  </si>
  <si>
    <t>=IF($P161="",0,ROUND(NL("SUM","G/L Entry","Amount","G/L Account No.",$P161,"Fund No.",$F$22,"Global Dimension 2 Code",$F$12,"Global Dimension 1 Code","@@"&amp;$I161,"Company=",$D$6,"Transaction Type",T$4,"Posting Date",T$3),0))</t>
  </si>
  <si>
    <t>=IF(OR(V$1="hide",$P161=""),0,ROUND(NL("SUM","G/L Entry","Amount","G/L Account No.",$P161,"Fund No.",$F$22,"Global Dimension 2 Code",$F$12,"Global Dimension 1 Code","@@"&amp;$I161,"Company=",$D$6,"Transaction Type",V$4,"Posting Date",V$3),0))</t>
  </si>
  <si>
    <t>=IF(OR(X$1="hide",$P161=""),0,ROUND(NL("SUM","G/L Entry","Amount","G/L Account No.",$P161,"Fund No.",$F$22,"Global Dimension 2 Code",$F$12,"Global Dimension 1 Code","@@"&amp;$I161,"Company=",$D$6,"Transaction Type",X$4,"Posting Date",X$3),0))</t>
  </si>
  <si>
    <t>=IF(OR(Z$1="hide",$P161=""),0,ROUND(NL("SUM","G/L Entry","Amount","G/L Account No.",$P161,"Fund No.",$F$22,"Global Dimension 2 Code",$F$12,"Global Dimension 1 Code","@@"&amp;$I161,"Company=",$D$6,"Transaction Type",Z$4,"Posting Date",Z$3),0))</t>
  </si>
  <si>
    <t>=IF(OR(AB$1="hide",$P161=""),0,ROUND(NL("SUM","G/L Entry","Amount","G/L Account No.",$P161,"Fund No.",$F$22,"Global Dimension 2 Code",$F$12,"Global Dimension 1 Code","@@"&amp;$I161,"Company=",$D$6,"Transaction Type",AB$4,"Posting Date",AB$3),0))</t>
  </si>
  <si>
    <t>=IF(OR(AD$1="hide",$P161=""),0,ROUND(NL("SUM","G/L Entry","Amount","G/L Account No.",$P161,"Fund No.",$F$22,"Global Dimension 2 Code",$F$12,"Global Dimension 1 Code","@@"&amp;$I161,"Company=",$D$6,"Transaction Type",AD$4,"Posting Date",AD$3),0))</t>
  </si>
  <si>
    <t>=IF(OR(AF$1="hide",$P161=""),0,ROUND(NL("SUM","G/L Entry","Amount","G/L Account No.",$P161,"Fund No.",$F$22,"Global Dimension 2 Code",$F$12,"Global Dimension 1 Code","@@"&amp;$I161,"Company=",$D$6,"Transaction Type",AF$4,"Posting Date",AF$3),0))</t>
  </si>
  <si>
    <t>=IF(OR(AH$1="hide",$P161=""),0,(ROUND(NL("SUM","G/L Entry","Amount","G/L Account No.",$P161,"Fund No.",$F$22,"Global Dimension 2 Code",$F$12,"Global Dimension 1 Code","@@"&amp;$I161,"Company=",$D$6,"Transaction Type",AH$4,"Posting Date",AH$3),0)))</t>
  </si>
  <si>
    <t>=IF(ISERROR(AH161+AJ161),0,(AH161+AJ161))</t>
  </si>
  <si>
    <t>=IF($F$13="yes",0,IF($P161="",0,ROUND(NL("SUM","G/L Budget Entry","Amount","Fund No.",$F$22,"G/L Account No.",$P161,"Company=",$D$6,"Global Dimension 1 Code","@@"&amp;$I161,"Global Dimension 2 Code",$F$12,"Date",$AN$3),0)))</t>
  </si>
  <si>
    <t>=IF($F$13="YES",AF161,AN161)</t>
  </si>
  <si>
    <t>=ABS(SUMIF(V161:AP161,"&gt;0")-SUMIF(V161:AP161,"&lt;0"))</t>
  </si>
  <si>
    <t>=IF(AQ162=0,"Hide","Show")</t>
  </si>
  <si>
    <t>=I161</t>
  </si>
  <si>
    <t>="546006"</t>
  </si>
  <si>
    <t>=IF(I162="","500000 51800",K162&amp;" "&amp;I162)</t>
  </si>
  <si>
    <t>=K162</t>
  </si>
  <si>
    <t>=IF($P162="","",NL("Rows","G/L Account","Name","No.",$P162,"Company=",$D$6))</t>
  </si>
  <si>
    <t>=IF($P162="",0,ROUND(NL("SUM","G/L Entry","Amount","G/L Account No.",$P162,"Fund No.",$F$22,"Global Dimension 2 Code",$F$12,"Global Dimension 1 Code","@@"&amp;$I162,"Company=",$D$6,"Transaction Type",T$4,"Posting Date",T$3),0))</t>
  </si>
  <si>
    <t>=IF(OR(V$1="hide",$P162=""),0,ROUND(NL("SUM","G/L Entry","Amount","G/L Account No.",$P162,"Fund No.",$F$22,"Global Dimension 2 Code",$F$12,"Global Dimension 1 Code","@@"&amp;$I162,"Company=",$D$6,"Transaction Type",V$4,"Posting Date",V$3),0))</t>
  </si>
  <si>
    <t>=IF(OR(X$1="hide",$P162=""),0,ROUND(NL("SUM","G/L Entry","Amount","G/L Account No.",$P162,"Fund No.",$F$22,"Global Dimension 2 Code",$F$12,"Global Dimension 1 Code","@@"&amp;$I162,"Company=",$D$6,"Transaction Type",X$4,"Posting Date",X$3),0))</t>
  </si>
  <si>
    <t>=IF(OR(Z$1="hide",$P162=""),0,ROUND(NL("SUM","G/L Entry","Amount","G/L Account No.",$P162,"Fund No.",$F$22,"Global Dimension 2 Code",$F$12,"Global Dimension 1 Code","@@"&amp;$I162,"Company=",$D$6,"Transaction Type",Z$4,"Posting Date",Z$3),0))</t>
  </si>
  <si>
    <t>=IF(OR(AB$1="hide",$P162=""),0,ROUND(NL("SUM","G/L Entry","Amount","G/L Account No.",$P162,"Fund No.",$F$22,"Global Dimension 2 Code",$F$12,"Global Dimension 1 Code","@@"&amp;$I162,"Company=",$D$6,"Transaction Type",AB$4,"Posting Date",AB$3),0))</t>
  </si>
  <si>
    <t>=IF(OR(AD$1="hide",$P162=""),0,ROUND(NL("SUM","G/L Entry","Amount","G/L Account No.",$P162,"Fund No.",$F$22,"Global Dimension 2 Code",$F$12,"Global Dimension 1 Code","@@"&amp;$I162,"Company=",$D$6,"Transaction Type",AD$4,"Posting Date",AD$3),0))</t>
  </si>
  <si>
    <t>=IF(OR(AF$1="hide",$P162=""),0,ROUND(NL("SUM","G/L Entry","Amount","G/L Account No.",$P162,"Fund No.",$F$22,"Global Dimension 2 Code",$F$12,"Global Dimension 1 Code","@@"&amp;$I162,"Company=",$D$6,"Transaction Type",AF$4,"Posting Date",AF$3),0))</t>
  </si>
  <si>
    <t>=IF(OR(AH$1="hide",$P162=""),0,(ROUND(NL("SUM","G/L Entry","Amount","G/L Account No.",$P162,"Fund No.",$F$22,"Global Dimension 2 Code",$F$12,"Global Dimension 1 Code","@@"&amp;$I162,"Company=",$D$6,"Transaction Type",AH$4,"Posting Date",AH$3),0)))</t>
  </si>
  <si>
    <t>=IF(ISERROR(AH162+AJ162),0,(AH162+AJ162))</t>
  </si>
  <si>
    <t>=IF($F$13="yes",0,IF($P162="",0,ROUND(NL("SUM","G/L Budget Entry","Amount","Fund No.",$F$22,"G/L Account No.",$P162,"Company=",$D$6,"Global Dimension 1 Code","@@"&amp;$I162,"Global Dimension 2 Code",$F$12,"Date",$AN$3),0)))</t>
  </si>
  <si>
    <t>=IF($F$13="YES",AF162,AN162)</t>
  </si>
  <si>
    <t>=ABS(SUMIF(V162:AP162,"&gt;0")-SUMIF(V162:AP162,"&lt;0"))</t>
  </si>
  <si>
    <t>=IF(AQ163=0,"Hide","Show")</t>
  </si>
  <si>
    <t>=I162</t>
  </si>
  <si>
    <t>=IF(I163="","500000 51800",K163&amp;" "&amp;I163)</t>
  </si>
  <si>
    <t>=K163</t>
  </si>
  <si>
    <t>=IF($P163="","",NL("Rows","G/L Account","Name","No.",$P163,"Company=",$D$6))</t>
  </si>
  <si>
    <t>=IF($P163="",0,ROUND(NL("SUM","G/L Entry","Amount","G/L Account No.",$P163,"Fund No.",$F$22,"Global Dimension 2 Code",$F$12,"Global Dimension 1 Code","@@"&amp;$I163,"Company=",$D$6,"Transaction Type",T$4,"Posting Date",T$3),0))</t>
  </si>
  <si>
    <t>=IF(OR(V$1="hide",$P163=""),0,ROUND(NL("SUM","G/L Entry","Amount","G/L Account No.",$P163,"Fund No.",$F$22,"Global Dimension 2 Code",$F$12,"Global Dimension 1 Code","@@"&amp;$I163,"Company=",$D$6,"Transaction Type",V$4,"Posting Date",V$3),0))</t>
  </si>
  <si>
    <t>=IF(OR(X$1="hide",$P163=""),0,ROUND(NL("SUM","G/L Entry","Amount","G/L Account No.",$P163,"Fund No.",$F$22,"Global Dimension 2 Code",$F$12,"Global Dimension 1 Code","@@"&amp;$I163,"Company=",$D$6,"Transaction Type",X$4,"Posting Date",X$3),0))</t>
  </si>
  <si>
    <t>=IF(OR(Z$1="hide",$P163=""),0,ROUND(NL("SUM","G/L Entry","Amount","G/L Account No.",$P163,"Fund No.",$F$22,"Global Dimension 2 Code",$F$12,"Global Dimension 1 Code","@@"&amp;$I163,"Company=",$D$6,"Transaction Type",Z$4,"Posting Date",Z$3),0))</t>
  </si>
  <si>
    <t>=IF(OR(AB$1="hide",$P163=""),0,ROUND(NL("SUM","G/L Entry","Amount","G/L Account No.",$P163,"Fund No.",$F$22,"Global Dimension 2 Code",$F$12,"Global Dimension 1 Code","@@"&amp;$I163,"Company=",$D$6,"Transaction Type",AB$4,"Posting Date",AB$3),0))</t>
  </si>
  <si>
    <t>=IF(OR(AD$1="hide",$P163=""),0,ROUND(NL("SUM","G/L Entry","Amount","G/L Account No.",$P163,"Fund No.",$F$22,"Global Dimension 2 Code",$F$12,"Global Dimension 1 Code","@@"&amp;$I163,"Company=",$D$6,"Transaction Type",AD$4,"Posting Date",AD$3),0))</t>
  </si>
  <si>
    <t>=IF(OR(AF$1="hide",$P163=""),0,ROUND(NL("SUM","G/L Entry","Amount","G/L Account No.",$P163,"Fund No.",$F$22,"Global Dimension 2 Code",$F$12,"Global Dimension 1 Code","@@"&amp;$I163,"Company=",$D$6,"Transaction Type",AF$4,"Posting Date",AF$3),0))</t>
  </si>
  <si>
    <t>=IF(OR(AH$1="hide",$P163=""),0,(ROUND(NL("SUM","G/L Entry","Amount","G/L Account No.",$P163,"Fund No.",$F$22,"Global Dimension 2 Code",$F$12,"Global Dimension 1 Code","@@"&amp;$I163,"Company=",$D$6,"Transaction Type",AH$4,"Posting Date",AH$3),0)))</t>
  </si>
  <si>
    <t>=IF(ISERROR(AH163+AJ163),0,(AH163+AJ163))</t>
  </si>
  <si>
    <t>=IF($F$13="yes",0,IF($P163="",0,ROUND(NL("SUM","G/L Budget Entry","Amount","Fund No.",$F$22,"G/L Account No.",$P163,"Company=",$D$6,"Global Dimension 1 Code","@@"&amp;$I163,"Global Dimension 2 Code",$F$12,"Date",$AN$3),0)))</t>
  </si>
  <si>
    <t>=IF($F$13="YES",AF163,AN163)</t>
  </si>
  <si>
    <t>=ABS(SUMIF(V163:AP163,"&gt;0")-SUMIF(V163:AP163,"&lt;0"))</t>
  </si>
  <si>
    <t>=IF(AQ164=0,"Hide","Show")</t>
  </si>
  <si>
    <t>=I163</t>
  </si>
  <si>
    <t>="564090"</t>
  </si>
  <si>
    <t>=IF(I164="","500000 51800",K164&amp;" "&amp;I164)</t>
  </si>
  <si>
    <t>=K164</t>
  </si>
  <si>
    <t>=IF($P164="","",NL("Rows","G/L Account","Name","No.",$P164,"Company=",$D$6))</t>
  </si>
  <si>
    <t>=IF($P164="",0,ROUND(NL("SUM","G/L Entry","Amount","G/L Account No.",$P164,"Fund No.",$F$22,"Global Dimension 2 Code",$F$12,"Global Dimension 1 Code","@@"&amp;$I164,"Company=",$D$6,"Transaction Type",T$4,"Posting Date",T$3),0))</t>
  </si>
  <si>
    <t>=IF(OR(V$1="hide",$P164=""),0,ROUND(NL("SUM","G/L Entry","Amount","G/L Account No.",$P164,"Fund No.",$F$22,"Global Dimension 2 Code",$F$12,"Global Dimension 1 Code","@@"&amp;$I164,"Company=",$D$6,"Transaction Type",V$4,"Posting Date",V$3),0))</t>
  </si>
  <si>
    <t>=IF(OR(X$1="hide",$P164=""),0,ROUND(NL("SUM","G/L Entry","Amount","G/L Account No.",$P164,"Fund No.",$F$22,"Global Dimension 2 Code",$F$12,"Global Dimension 1 Code","@@"&amp;$I164,"Company=",$D$6,"Transaction Type",X$4,"Posting Date",X$3),0))</t>
  </si>
  <si>
    <t>=IF(OR(Z$1="hide",$P164=""),0,ROUND(NL("SUM","G/L Entry","Amount","G/L Account No.",$P164,"Fund No.",$F$22,"Global Dimension 2 Code",$F$12,"Global Dimension 1 Code","@@"&amp;$I164,"Company=",$D$6,"Transaction Type",Z$4,"Posting Date",Z$3),0))</t>
  </si>
  <si>
    <t>=IF(OR(AB$1="hide",$P164=""),0,ROUND(NL("SUM","G/L Entry","Amount","G/L Account No.",$P164,"Fund No.",$F$22,"Global Dimension 2 Code",$F$12,"Global Dimension 1 Code","@@"&amp;$I164,"Company=",$D$6,"Transaction Type",AB$4,"Posting Date",AB$3),0))</t>
  </si>
  <si>
    <t>=IF(OR(AD$1="hide",$P164=""),0,ROUND(NL("SUM","G/L Entry","Amount","G/L Account No.",$P164,"Fund No.",$F$22,"Global Dimension 2 Code",$F$12,"Global Dimension 1 Code","@@"&amp;$I164,"Company=",$D$6,"Transaction Type",AD$4,"Posting Date",AD$3),0))</t>
  </si>
  <si>
    <t>=IF(OR(AF$1="hide",$P164=""),0,ROUND(NL("SUM","G/L Entry","Amount","G/L Account No.",$P164,"Fund No.",$F$22,"Global Dimension 2 Code",$F$12,"Global Dimension 1 Code","@@"&amp;$I164,"Company=",$D$6,"Transaction Type",AF$4,"Posting Date",AF$3),0))</t>
  </si>
  <si>
    <t>=IF(OR(AH$1="hide",$P164=""),0,(ROUND(NL("SUM","G/L Entry","Amount","G/L Account No.",$P164,"Fund No.",$F$22,"Global Dimension 2 Code",$F$12,"Global Dimension 1 Code","@@"&amp;$I164,"Company=",$D$6,"Transaction Type",AH$4,"Posting Date",AH$3),0)))</t>
  </si>
  <si>
    <t>=IF(ISERROR(AH164+AJ164),0,(AH164+AJ164))</t>
  </si>
  <si>
    <t>=IF($F$13="yes",0,IF($P164="",0,ROUND(NL("SUM","G/L Budget Entry","Amount","Fund No.",$F$22,"G/L Account No.",$P164,"Company=",$D$6,"Global Dimension 1 Code","@@"&amp;$I164,"Global Dimension 2 Code",$F$12,"Date",$AN$3),0)))</t>
  </si>
  <si>
    <t>=IF($F$13="YES",AF164,AN164)</t>
  </si>
  <si>
    <t>=ABS(SUMIF(V164:AP164,"&gt;0")-SUMIF(V164:AP164,"&lt;0"))</t>
  </si>
  <si>
    <t>=I165</t>
  </si>
  <si>
    <t>="Total " &amp;($R157)</t>
  </si>
  <si>
    <t>=SUM(T158:T165)</t>
  </si>
  <si>
    <t>=SUM(V158:V165)</t>
  </si>
  <si>
    <t>=SUM(X158:X165)</t>
  </si>
  <si>
    <t>=SUM(Z158:Z165)</t>
  </si>
  <si>
    <t>=SUM(AB158:AB165)</t>
  </si>
  <si>
    <t>=SUM(AD158:AD165)</t>
  </si>
  <si>
    <t>=SUM(AF158:AF165)</t>
  </si>
  <si>
    <t>=SUM(AH158:AH165)</t>
  </si>
  <si>
    <t>=SUM(AJ158:AJ165)</t>
  </si>
  <si>
    <t>=SUM(AL158:AL165)</t>
  </si>
  <si>
    <t>=SUM(AN158:AN165)</t>
  </si>
  <si>
    <t>=SUM(AP158:AP165)</t>
  </si>
  <si>
    <t>=ABS(SUMIF(V166:AP166,"&gt;0")-SUMIF(V166:AP166,"&lt;0"))</t>
  </si>
  <si>
    <t>=SUM(T157:T165)</t>
  </si>
  <si>
    <t>=SUM(V157:V165)</t>
  </si>
  <si>
    <t>=SUM(X157:X165)</t>
  </si>
  <si>
    <t>=SUM(Z157:Z165)</t>
  </si>
  <si>
    <t>=SUM(AB157:AB165)</t>
  </si>
  <si>
    <t>=SUM(AD157:AD165)</t>
  </si>
  <si>
    <t>=SUM(AF157:AF165)</t>
  </si>
  <si>
    <t>=SUM(AH157:AH165)</t>
  </si>
  <si>
    <t>=SUM(AJ157:AJ165)</t>
  </si>
  <si>
    <t>=SUM(AL157:AL165)</t>
  </si>
  <si>
    <t>=SUM(AN157:AN165)</t>
  </si>
  <si>
    <t>=SUM(AP157:AP165)</t>
  </si>
  <si>
    <t>=B166</t>
  </si>
  <si>
    <t>=I166</t>
  </si>
  <si>
    <t>="53910"</t>
  </si>
  <si>
    <t>=IF(AQ205=0,"Hide","Show")</t>
  </si>
  <si>
    <t>=I168</t>
  </si>
  <si>
    <t>=IF($I169="","",(NL("Rows","Dimension Value","Name","Dimension Code",$H168,"Code",$I169,"Company=",$D$6)))</t>
  </si>
  <si>
    <t>=IF(AQ170=0,"Hide","Show")</t>
  </si>
  <si>
    <t>=I169</t>
  </si>
  <si>
    <t>=NL("Rows", NL("Union", NL("allunique","G/L Entry",$E$20,$E$20,$E$105,$E$22,$F$22,$E$21,"@@"&amp;I170,"Company=",$D$6,"Posting Date",$J$5),NL("allunique","G/L Budget Entry",$E$20,$E$20,$E$105,$E$24,$F$22,$E$21,"@@"&amp;I170,"Company=",$D$6,"Date",$J$6)))</t>
  </si>
  <si>
    <t>=IF(I170="","500000 51800",K170&amp;" "&amp;I170)</t>
  </si>
  <si>
    <t>=K170</t>
  </si>
  <si>
    <t>=IF($P170="","",NL("Rows","G/L Account","Name","No.",$P170,"Company=",$D$6))</t>
  </si>
  <si>
    <t>=IF($P170="",0,ROUND(NL("SUM","G/L Entry","Amount","G/L Account No.",$P170,"Fund No.",$F$22,"Global Dimension 2 Code",$F$12,"Global Dimension 1 Code","@@"&amp;$I170,"Company=",$D$6,"Transaction Type",T$4,"Posting Date",T$3),0))</t>
  </si>
  <si>
    <t>=IF(OR(V$1="hide",$P170=""),0,ROUND(NL("SUM","G/L Entry","Amount","G/L Account No.",$P170,"Fund No.",$F$22,"Global Dimension 2 Code",$F$12,"Global Dimension 1 Code","@@"&amp;$I170,"Company=",$D$6,"Transaction Type",V$4,"Posting Date",V$3),0))</t>
  </si>
  <si>
    <t>=IF(OR(X$1="hide",$P170=""),0,ROUND(NL("SUM","G/L Entry","Amount","G/L Account No.",$P170,"Fund No.",$F$22,"Global Dimension 2 Code",$F$12,"Global Dimension 1 Code","@@"&amp;$I170,"Company=",$D$6,"Transaction Type",X$4,"Posting Date",X$3),0))</t>
  </si>
  <si>
    <t>=IF(OR(Z$1="hide",$P170=""),0,ROUND(NL("SUM","G/L Entry","Amount","G/L Account No.",$P170,"Fund No.",$F$22,"Global Dimension 2 Code",$F$12,"Global Dimension 1 Code","@@"&amp;$I170,"Company=",$D$6,"Transaction Type",Z$4,"Posting Date",Z$3),0))</t>
  </si>
  <si>
    <t>=IF(OR(AB$1="hide",$P170=""),0,ROUND(NL("SUM","G/L Entry","Amount","G/L Account No.",$P170,"Fund No.",$F$22,"Global Dimension 2 Code",$F$12,"Global Dimension 1 Code","@@"&amp;$I170,"Company=",$D$6,"Transaction Type",AB$4,"Posting Date",AB$3),0))</t>
  </si>
  <si>
    <t>=IF(OR(AD$1="hide",$P170=""),0,ROUND(NL("SUM","G/L Entry","Amount","G/L Account No.",$P170,"Fund No.",$F$22,"Global Dimension 2 Code",$F$12,"Global Dimension 1 Code","@@"&amp;$I170,"Company=",$D$6,"Transaction Type",AD$4,"Posting Date",AD$3),0))</t>
  </si>
  <si>
    <t>=IF(OR(AF$1="hide",$P170=""),0,ROUND(NL("SUM","G/L Entry","Amount","G/L Account No.",$P170,"Fund No.",$F$22,"Global Dimension 2 Code",$F$12,"Global Dimension 1 Code","@@"&amp;$I170,"Company=",$D$6,"Transaction Type",AF$4,"Posting Date",AF$3),0))</t>
  </si>
  <si>
    <t>=IF(OR(AH$1="hide",$P170=""),0,(ROUND(NL("SUM","G/L Entry","Amount","G/L Account No.",$P170,"Fund No.",$F$22,"Global Dimension 2 Code",$F$12,"Global Dimension 1 Code","@@"&amp;$I170,"Company=",$D$6,"Transaction Type",AH$4,"Posting Date",AH$3),0)))</t>
  </si>
  <si>
    <t>=IF(ISERROR(AH170+AJ170),0,(AH170+AJ170))</t>
  </si>
  <si>
    <t>=IF($F$13="yes",0,IF($P170="",0,ROUND(NL("SUM","G/L Budget Entry","Amount","Fund No.",$F$22,"G/L Account No.",$P170,"Company=",$D$6,"Global Dimension 1 Code","@@"&amp;$I170,"Global Dimension 2 Code",$F$12,"Date",$AN$3),0)))</t>
  </si>
  <si>
    <t>=IF($F$13="YES",AF170,AN170)</t>
  </si>
  <si>
    <t>=ABS(SUMIF(V170:AP170,"&gt;0")-SUMIF(V170:AP170,"&lt;0"))</t>
  </si>
  <si>
    <t>=IF(AQ171=0,"Hide","Show")</t>
  </si>
  <si>
    <t>=I170</t>
  </si>
  <si>
    <t>="534021"</t>
  </si>
  <si>
    <t>=IF(I171="","500000 51800",K171&amp;" "&amp;I171)</t>
  </si>
  <si>
    <t>=K171</t>
  </si>
  <si>
    <t>=IF($P171="","",NL("Rows","G/L Account","Name","No.",$P171,"Company=",$D$6))</t>
  </si>
  <si>
    <t>=IF($P171="",0,ROUND(NL("SUM","G/L Entry","Amount","G/L Account No.",$P171,"Fund No.",$F$22,"Global Dimension 2 Code",$F$12,"Global Dimension 1 Code","@@"&amp;$I171,"Company=",$D$6,"Transaction Type",T$4,"Posting Date",T$3),0))</t>
  </si>
  <si>
    <t>=IF(OR(V$1="hide",$P171=""),0,ROUND(NL("SUM","G/L Entry","Amount","G/L Account No.",$P171,"Fund No.",$F$22,"Global Dimension 2 Code",$F$12,"Global Dimension 1 Code","@@"&amp;$I171,"Company=",$D$6,"Transaction Type",V$4,"Posting Date",V$3),0))</t>
  </si>
  <si>
    <t>=IF(OR(X$1="hide",$P171=""),0,ROUND(NL("SUM","G/L Entry","Amount","G/L Account No.",$P171,"Fund No.",$F$22,"Global Dimension 2 Code",$F$12,"Global Dimension 1 Code","@@"&amp;$I171,"Company=",$D$6,"Transaction Type",X$4,"Posting Date",X$3),0))</t>
  </si>
  <si>
    <t>=IF(OR(Z$1="hide",$P171=""),0,ROUND(NL("SUM","G/L Entry","Amount","G/L Account No.",$P171,"Fund No.",$F$22,"Global Dimension 2 Code",$F$12,"Global Dimension 1 Code","@@"&amp;$I171,"Company=",$D$6,"Transaction Type",Z$4,"Posting Date",Z$3),0))</t>
  </si>
  <si>
    <t>=IF(OR(AB$1="hide",$P171=""),0,ROUND(NL("SUM","G/L Entry","Amount","G/L Account No.",$P171,"Fund No.",$F$22,"Global Dimension 2 Code",$F$12,"Global Dimension 1 Code","@@"&amp;$I171,"Company=",$D$6,"Transaction Type",AB$4,"Posting Date",AB$3),0))</t>
  </si>
  <si>
    <t>=IF(OR(AD$1="hide",$P171=""),0,ROUND(NL("SUM","G/L Entry","Amount","G/L Account No.",$P171,"Fund No.",$F$22,"Global Dimension 2 Code",$F$12,"Global Dimension 1 Code","@@"&amp;$I171,"Company=",$D$6,"Transaction Type",AD$4,"Posting Date",AD$3),0))</t>
  </si>
  <si>
    <t>=IF(OR(AF$1="hide",$P171=""),0,ROUND(NL("SUM","G/L Entry","Amount","G/L Account No.",$P171,"Fund No.",$F$22,"Global Dimension 2 Code",$F$12,"Global Dimension 1 Code","@@"&amp;$I171,"Company=",$D$6,"Transaction Type",AF$4,"Posting Date",AF$3),0))</t>
  </si>
  <si>
    <t>=IF(OR(AH$1="hide",$P171=""),0,(ROUND(NL("SUM","G/L Entry","Amount","G/L Account No.",$P171,"Fund No.",$F$22,"Global Dimension 2 Code",$F$12,"Global Dimension 1 Code","@@"&amp;$I171,"Company=",$D$6,"Transaction Type",AH$4,"Posting Date",AH$3),0)))</t>
  </si>
  <si>
    <t>=IF(ISERROR(AH171+AJ171),0,(AH171+AJ171))</t>
  </si>
  <si>
    <t>=IF($F$13="yes",0,IF($P171="",0,ROUND(NL("SUM","G/L Budget Entry","Amount","Fund No.",$F$22,"G/L Account No.",$P171,"Company=",$D$6,"Global Dimension 1 Code","@@"&amp;$I171,"Global Dimension 2 Code",$F$12,"Date",$AN$3),0)))</t>
  </si>
  <si>
    <t>=IF($F$13="YES",AF171,AN171)</t>
  </si>
  <si>
    <t>=ABS(SUMIF(V171:AP171,"&gt;0")-SUMIF(V171:AP171,"&lt;0"))</t>
  </si>
  <si>
    <t>=IF(AQ172=0,"Hide","Show")</t>
  </si>
  <si>
    <t>=I171</t>
  </si>
  <si>
    <t>="540003"</t>
  </si>
  <si>
    <t>=IF(I172="","500000 51800",K172&amp;" "&amp;I172)</t>
  </si>
  <si>
    <t>=K172</t>
  </si>
  <si>
    <t>=IF($P172="","",NL("Rows","G/L Account","Name","No.",$P172,"Company=",$D$6))</t>
  </si>
  <si>
    <t>=IF($P172="",0,ROUND(NL("SUM","G/L Entry","Amount","G/L Account No.",$P172,"Fund No.",$F$22,"Global Dimension 2 Code",$F$12,"Global Dimension 1 Code","@@"&amp;$I172,"Company=",$D$6,"Transaction Type",T$4,"Posting Date",T$3),0))</t>
  </si>
  <si>
    <t>=IF(OR(V$1="hide",$P172=""),0,ROUND(NL("SUM","G/L Entry","Amount","G/L Account No.",$P172,"Fund No.",$F$22,"Global Dimension 2 Code",$F$12,"Global Dimension 1 Code","@@"&amp;$I172,"Company=",$D$6,"Transaction Type",V$4,"Posting Date",V$3),0))</t>
  </si>
  <si>
    <t>=IF(OR(X$1="hide",$P172=""),0,ROUND(NL("SUM","G/L Entry","Amount","G/L Account No.",$P172,"Fund No.",$F$22,"Global Dimension 2 Code",$F$12,"Global Dimension 1 Code","@@"&amp;$I172,"Company=",$D$6,"Transaction Type",X$4,"Posting Date",X$3),0))</t>
  </si>
  <si>
    <t>=IF(OR(Z$1="hide",$P172=""),0,ROUND(NL("SUM","G/L Entry","Amount","G/L Account No.",$P172,"Fund No.",$F$22,"Global Dimension 2 Code",$F$12,"Global Dimension 1 Code","@@"&amp;$I172,"Company=",$D$6,"Transaction Type",Z$4,"Posting Date",Z$3),0))</t>
  </si>
  <si>
    <t>=IF(OR(AB$1="hide",$P172=""),0,ROUND(NL("SUM","G/L Entry","Amount","G/L Account No.",$P172,"Fund No.",$F$22,"Global Dimension 2 Code",$F$12,"Global Dimension 1 Code","@@"&amp;$I172,"Company=",$D$6,"Transaction Type",AB$4,"Posting Date",AB$3),0))</t>
  </si>
  <si>
    <t>=IF(OR(AD$1="hide",$P172=""),0,ROUND(NL("SUM","G/L Entry","Amount","G/L Account No.",$P172,"Fund No.",$F$22,"Global Dimension 2 Code",$F$12,"Global Dimension 1 Code","@@"&amp;$I172,"Company=",$D$6,"Transaction Type",AD$4,"Posting Date",AD$3),0))</t>
  </si>
  <si>
    <t>=IF(OR(AF$1="hide",$P172=""),0,ROUND(NL("SUM","G/L Entry","Amount","G/L Account No.",$P172,"Fund No.",$F$22,"Global Dimension 2 Code",$F$12,"Global Dimension 1 Code","@@"&amp;$I172,"Company=",$D$6,"Transaction Type",AF$4,"Posting Date",AF$3),0))</t>
  </si>
  <si>
    <t>=IF(OR(AH$1="hide",$P172=""),0,(ROUND(NL("SUM","G/L Entry","Amount","G/L Account No.",$P172,"Fund No.",$F$22,"Global Dimension 2 Code",$F$12,"Global Dimension 1 Code","@@"&amp;$I172,"Company=",$D$6,"Transaction Type",AH$4,"Posting Date",AH$3),0)))</t>
  </si>
  <si>
    <t>=IF(ISERROR(AH172+AJ172),0,(AH172+AJ172))</t>
  </si>
  <si>
    <t>=IF($F$13="yes",0,IF($P172="",0,ROUND(NL("SUM","G/L Budget Entry","Amount","Fund No.",$F$22,"G/L Account No.",$P172,"Company=",$D$6,"Global Dimension 1 Code","@@"&amp;$I172,"Global Dimension 2 Code",$F$12,"Date",$AN$3),0)))</t>
  </si>
  <si>
    <t>=IF($F$13="YES",AF172,AN172)</t>
  </si>
  <si>
    <t>=ABS(SUMIF(V172:AP172,"&gt;0")-SUMIF(V172:AP172,"&lt;0"))</t>
  </si>
  <si>
    <t>=IF(AQ173=0,"Hide","Show")</t>
  </si>
  <si>
    <t>=I172</t>
  </si>
  <si>
    <t>=IF(I173="","500000 51800",K173&amp;" "&amp;I173)</t>
  </si>
  <si>
    <t>=K173</t>
  </si>
  <si>
    <t>=IF($P173="","",NL("Rows","G/L Account","Name","No.",$P173,"Company=",$D$6))</t>
  </si>
  <si>
    <t>=IF($P173="",0,ROUND(NL("SUM","G/L Entry","Amount","G/L Account No.",$P173,"Fund No.",$F$22,"Global Dimension 2 Code",$F$12,"Global Dimension 1 Code","@@"&amp;$I173,"Company=",$D$6,"Transaction Type",T$4,"Posting Date",T$3),0))</t>
  </si>
  <si>
    <t>=IF(OR(V$1="hide",$P173=""),0,ROUND(NL("SUM","G/L Entry","Amount","G/L Account No.",$P173,"Fund No.",$F$22,"Global Dimension 2 Code",$F$12,"Global Dimension 1 Code","@@"&amp;$I173,"Company=",$D$6,"Transaction Type",V$4,"Posting Date",V$3),0))</t>
  </si>
  <si>
    <t>=IF(OR(X$1="hide",$P173=""),0,ROUND(NL("SUM","G/L Entry","Amount","G/L Account No.",$P173,"Fund No.",$F$22,"Global Dimension 2 Code",$F$12,"Global Dimension 1 Code","@@"&amp;$I173,"Company=",$D$6,"Transaction Type",X$4,"Posting Date",X$3),0))</t>
  </si>
  <si>
    <t>=IF(OR(Z$1="hide",$P173=""),0,ROUND(NL("SUM","G/L Entry","Amount","G/L Account No.",$P173,"Fund No.",$F$22,"Global Dimension 2 Code",$F$12,"Global Dimension 1 Code","@@"&amp;$I173,"Company=",$D$6,"Transaction Type",Z$4,"Posting Date",Z$3),0))</t>
  </si>
  <si>
    <t>=IF(OR(AB$1="hide",$P173=""),0,ROUND(NL("SUM","G/L Entry","Amount","G/L Account No.",$P173,"Fund No.",$F$22,"Global Dimension 2 Code",$F$12,"Global Dimension 1 Code","@@"&amp;$I173,"Company=",$D$6,"Transaction Type",AB$4,"Posting Date",AB$3),0))</t>
  </si>
  <si>
    <t>=IF(OR(AD$1="hide",$P173=""),0,ROUND(NL("SUM","G/L Entry","Amount","G/L Account No.",$P173,"Fund No.",$F$22,"Global Dimension 2 Code",$F$12,"Global Dimension 1 Code","@@"&amp;$I173,"Company=",$D$6,"Transaction Type",AD$4,"Posting Date",AD$3),0))</t>
  </si>
  <si>
    <t>=IF(OR(AF$1="hide",$P173=""),0,ROUND(NL("SUM","G/L Entry","Amount","G/L Account No.",$P173,"Fund No.",$F$22,"Global Dimension 2 Code",$F$12,"Global Dimension 1 Code","@@"&amp;$I173,"Company=",$D$6,"Transaction Type",AF$4,"Posting Date",AF$3),0))</t>
  </si>
  <si>
    <t>=IF(OR(AH$1="hide",$P173=""),0,(ROUND(NL("SUM","G/L Entry","Amount","G/L Account No.",$P173,"Fund No.",$F$22,"Global Dimension 2 Code",$F$12,"Global Dimension 1 Code","@@"&amp;$I173,"Company=",$D$6,"Transaction Type",AH$4,"Posting Date",AH$3),0)))</t>
  </si>
  <si>
    <t>=IF(ISERROR(AH173+AJ173),0,(AH173+AJ173))</t>
  </si>
  <si>
    <t>=IF($F$13="yes",0,IF($P173="",0,ROUND(NL("SUM","G/L Budget Entry","Amount","Fund No.",$F$22,"G/L Account No.",$P173,"Company=",$D$6,"Global Dimension 1 Code","@@"&amp;$I173,"Global Dimension 2 Code",$F$12,"Date",$AN$3),0)))</t>
  </si>
  <si>
    <t>=IF($F$13="YES",AF173,AN173)</t>
  </si>
  <si>
    <t>=ABS(SUMIF(V173:AP173,"&gt;0")-SUMIF(V173:AP173,"&lt;0"))</t>
  </si>
  <si>
    <t>=IF(AQ174=0,"Hide","Show")</t>
  </si>
  <si>
    <t>=I173</t>
  </si>
  <si>
    <t>=IF(I174="","500000 51800",K174&amp;" "&amp;I174)</t>
  </si>
  <si>
    <t>=K174</t>
  </si>
  <si>
    <t>=IF($P174="","",NL("Rows","G/L Account","Name","No.",$P174,"Company=",$D$6))</t>
  </si>
  <si>
    <t>=IF($P174="",0,ROUND(NL("SUM","G/L Entry","Amount","G/L Account No.",$P174,"Fund No.",$F$22,"Global Dimension 2 Code",$F$12,"Global Dimension 1 Code","@@"&amp;$I174,"Company=",$D$6,"Transaction Type",T$4,"Posting Date",T$3),0))</t>
  </si>
  <si>
    <t>=IF(OR(V$1="hide",$P174=""),0,ROUND(NL("SUM","G/L Entry","Amount","G/L Account No.",$P174,"Fund No.",$F$22,"Global Dimension 2 Code",$F$12,"Global Dimension 1 Code","@@"&amp;$I174,"Company=",$D$6,"Transaction Type",V$4,"Posting Date",V$3),0))</t>
  </si>
  <si>
    <t>=IF(OR(X$1="hide",$P174=""),0,ROUND(NL("SUM","G/L Entry","Amount","G/L Account No.",$P174,"Fund No.",$F$22,"Global Dimension 2 Code",$F$12,"Global Dimension 1 Code","@@"&amp;$I174,"Company=",$D$6,"Transaction Type",X$4,"Posting Date",X$3),0))</t>
  </si>
  <si>
    <t>=IF(OR(Z$1="hide",$P174=""),0,ROUND(NL("SUM","G/L Entry","Amount","G/L Account No.",$P174,"Fund No.",$F$22,"Global Dimension 2 Code",$F$12,"Global Dimension 1 Code","@@"&amp;$I174,"Company=",$D$6,"Transaction Type",Z$4,"Posting Date",Z$3),0))</t>
  </si>
  <si>
    <t>=IF(OR(AB$1="hide",$P174=""),0,ROUND(NL("SUM","G/L Entry","Amount","G/L Account No.",$P174,"Fund No.",$F$22,"Global Dimension 2 Code",$F$12,"Global Dimension 1 Code","@@"&amp;$I174,"Company=",$D$6,"Transaction Type",AB$4,"Posting Date",AB$3),0))</t>
  </si>
  <si>
    <t>=IF(OR(AD$1="hide",$P174=""),0,ROUND(NL("SUM","G/L Entry","Amount","G/L Account No.",$P174,"Fund No.",$F$22,"Global Dimension 2 Code",$F$12,"Global Dimension 1 Code","@@"&amp;$I174,"Company=",$D$6,"Transaction Type",AD$4,"Posting Date",AD$3),0))</t>
  </si>
  <si>
    <t>=IF(OR(AF$1="hide",$P174=""),0,ROUND(NL("SUM","G/L Entry","Amount","G/L Account No.",$P174,"Fund No.",$F$22,"Global Dimension 2 Code",$F$12,"Global Dimension 1 Code","@@"&amp;$I174,"Company=",$D$6,"Transaction Type",AF$4,"Posting Date",AF$3),0))</t>
  </si>
  <si>
    <t>=IF(OR(AH$1="hide",$P174=""),0,(ROUND(NL("SUM","G/L Entry","Amount","G/L Account No.",$P174,"Fund No.",$F$22,"Global Dimension 2 Code",$F$12,"Global Dimension 1 Code","@@"&amp;$I174,"Company=",$D$6,"Transaction Type",AH$4,"Posting Date",AH$3),0)))</t>
  </si>
  <si>
    <t>=IF(ISERROR(AH174+AJ174),0,(AH174+AJ174))</t>
  </si>
  <si>
    <t>=IF($F$13="yes",0,IF($P174="",0,ROUND(NL("SUM","G/L Budget Entry","Amount","Fund No.",$F$22,"G/L Account No.",$P174,"Company=",$D$6,"Global Dimension 1 Code","@@"&amp;$I174,"Global Dimension 2 Code",$F$12,"Date",$AN$3),0)))</t>
  </si>
  <si>
    <t>=IF($F$13="YES",AF174,AN174)</t>
  </si>
  <si>
    <t>=ABS(SUMIF(V174:AP174,"&gt;0")-SUMIF(V174:AP174,"&lt;0"))</t>
  </si>
  <si>
    <t>=IF(AQ175=0,"Hide","Show")</t>
  </si>
  <si>
    <t>=I174</t>
  </si>
  <si>
    <t>="546002"</t>
  </si>
  <si>
    <t>=IF(I175="","500000 51800",K175&amp;" "&amp;I175)</t>
  </si>
  <si>
    <t>=K175</t>
  </si>
  <si>
    <t>=IF($P175="","",NL("Rows","G/L Account","Name","No.",$P175,"Company=",$D$6))</t>
  </si>
  <si>
    <t>=IF($P175="",0,ROUND(NL("SUM","G/L Entry","Amount","G/L Account No.",$P175,"Fund No.",$F$22,"Global Dimension 2 Code",$F$12,"Global Dimension 1 Code","@@"&amp;$I175,"Company=",$D$6,"Transaction Type",T$4,"Posting Date",T$3),0))</t>
  </si>
  <si>
    <t>=IF(OR(V$1="hide",$P175=""),0,ROUND(NL("SUM","G/L Entry","Amount","G/L Account No.",$P175,"Fund No.",$F$22,"Global Dimension 2 Code",$F$12,"Global Dimension 1 Code","@@"&amp;$I175,"Company=",$D$6,"Transaction Type",V$4,"Posting Date",V$3),0))</t>
  </si>
  <si>
    <t>=IF(OR(X$1="hide",$P175=""),0,ROUND(NL("SUM","G/L Entry","Amount","G/L Account No.",$P175,"Fund No.",$F$22,"Global Dimension 2 Code",$F$12,"Global Dimension 1 Code","@@"&amp;$I175,"Company=",$D$6,"Transaction Type",X$4,"Posting Date",X$3),0))</t>
  </si>
  <si>
    <t>=IF(OR(Z$1="hide",$P175=""),0,ROUND(NL("SUM","G/L Entry","Amount","G/L Account No.",$P175,"Fund No.",$F$22,"Global Dimension 2 Code",$F$12,"Global Dimension 1 Code","@@"&amp;$I175,"Company=",$D$6,"Transaction Type",Z$4,"Posting Date",Z$3),0))</t>
  </si>
  <si>
    <t>=IF(OR(AB$1="hide",$P175=""),0,ROUND(NL("SUM","G/L Entry","Amount","G/L Account No.",$P175,"Fund No.",$F$22,"Global Dimension 2 Code",$F$12,"Global Dimension 1 Code","@@"&amp;$I175,"Company=",$D$6,"Transaction Type",AB$4,"Posting Date",AB$3),0))</t>
  </si>
  <si>
    <t>=IF(OR(AD$1="hide",$P175=""),0,ROUND(NL("SUM","G/L Entry","Amount","G/L Account No.",$P175,"Fund No.",$F$22,"Global Dimension 2 Code",$F$12,"Global Dimension 1 Code","@@"&amp;$I175,"Company=",$D$6,"Transaction Type",AD$4,"Posting Date",AD$3),0))</t>
  </si>
  <si>
    <t>=IF(OR(AF$1="hide",$P175=""),0,ROUND(NL("SUM","G/L Entry","Amount","G/L Account No.",$P175,"Fund No.",$F$22,"Global Dimension 2 Code",$F$12,"Global Dimension 1 Code","@@"&amp;$I175,"Company=",$D$6,"Transaction Type",AF$4,"Posting Date",AF$3),0))</t>
  </si>
  <si>
    <t>=IF(OR(AH$1="hide",$P175=""),0,(ROUND(NL("SUM","G/L Entry","Amount","G/L Account No.",$P175,"Fund No.",$F$22,"Global Dimension 2 Code",$F$12,"Global Dimension 1 Code","@@"&amp;$I175,"Company=",$D$6,"Transaction Type",AH$4,"Posting Date",AH$3),0)))</t>
  </si>
  <si>
    <t>=IF(ISERROR(AH175+AJ175),0,(AH175+AJ175))</t>
  </si>
  <si>
    <t>=IF($F$13="yes",0,IF($P175="",0,ROUND(NL("SUM","G/L Budget Entry","Amount","Fund No.",$F$22,"G/L Account No.",$P175,"Company=",$D$6,"Global Dimension 1 Code","@@"&amp;$I175,"Global Dimension 2 Code",$F$12,"Date",$AN$3),0)))</t>
  </si>
  <si>
    <t>=IF($F$13="YES",AF175,AN175)</t>
  </si>
  <si>
    <t>=ABS(SUMIF(V175:AP175,"&gt;0")-SUMIF(V175:AP175,"&lt;0"))</t>
  </si>
  <si>
    <t>=IF(AQ176=0,"Hide","Show")</t>
  </si>
  <si>
    <t>=I175</t>
  </si>
  <si>
    <t>="546015"</t>
  </si>
  <si>
    <t>=IF(I176="","500000 51800",K176&amp;" "&amp;I176)</t>
  </si>
  <si>
    <t>=K176</t>
  </si>
  <si>
    <t>=IF($P176="","",NL("Rows","G/L Account","Name","No.",$P176,"Company=",$D$6))</t>
  </si>
  <si>
    <t>=IF($P176="",0,ROUND(NL("SUM","G/L Entry","Amount","G/L Account No.",$P176,"Fund No.",$F$22,"Global Dimension 2 Code",$F$12,"Global Dimension 1 Code","@@"&amp;$I176,"Company=",$D$6,"Transaction Type",T$4,"Posting Date",T$3),0))</t>
  </si>
  <si>
    <t>=IF(OR(V$1="hide",$P176=""),0,ROUND(NL("SUM","G/L Entry","Amount","G/L Account No.",$P176,"Fund No.",$F$22,"Global Dimension 2 Code",$F$12,"Global Dimension 1 Code","@@"&amp;$I176,"Company=",$D$6,"Transaction Type",V$4,"Posting Date",V$3),0))</t>
  </si>
  <si>
    <t>=IF(OR(X$1="hide",$P176=""),0,ROUND(NL("SUM","G/L Entry","Amount","G/L Account No.",$P176,"Fund No.",$F$22,"Global Dimension 2 Code",$F$12,"Global Dimension 1 Code","@@"&amp;$I176,"Company=",$D$6,"Transaction Type",X$4,"Posting Date",X$3),0))</t>
  </si>
  <si>
    <t>=IF(OR(Z$1="hide",$P176=""),0,ROUND(NL("SUM","G/L Entry","Amount","G/L Account No.",$P176,"Fund No.",$F$22,"Global Dimension 2 Code",$F$12,"Global Dimension 1 Code","@@"&amp;$I176,"Company=",$D$6,"Transaction Type",Z$4,"Posting Date",Z$3),0))</t>
  </si>
  <si>
    <t>=IF(OR(AB$1="hide",$P176=""),0,ROUND(NL("SUM","G/L Entry","Amount","G/L Account No.",$P176,"Fund No.",$F$22,"Global Dimension 2 Code",$F$12,"Global Dimension 1 Code","@@"&amp;$I176,"Company=",$D$6,"Transaction Type",AB$4,"Posting Date",AB$3),0))</t>
  </si>
  <si>
    <t>=IF(OR(AD$1="hide",$P176=""),0,ROUND(NL("SUM","G/L Entry","Amount","G/L Account No.",$P176,"Fund No.",$F$22,"Global Dimension 2 Code",$F$12,"Global Dimension 1 Code","@@"&amp;$I176,"Company=",$D$6,"Transaction Type",AD$4,"Posting Date",AD$3),0))</t>
  </si>
  <si>
    <t>=IF(OR(AF$1="hide",$P176=""),0,ROUND(NL("SUM","G/L Entry","Amount","G/L Account No.",$P176,"Fund No.",$F$22,"Global Dimension 2 Code",$F$12,"Global Dimension 1 Code","@@"&amp;$I176,"Company=",$D$6,"Transaction Type",AF$4,"Posting Date",AF$3),0))</t>
  </si>
  <si>
    <t>=IF(OR(AH$1="hide",$P176=""),0,(ROUND(NL("SUM","G/L Entry","Amount","G/L Account No.",$P176,"Fund No.",$F$22,"Global Dimension 2 Code",$F$12,"Global Dimension 1 Code","@@"&amp;$I176,"Company=",$D$6,"Transaction Type",AH$4,"Posting Date",AH$3),0)))</t>
  </si>
  <si>
    <t>=IF(ISERROR(AH176+AJ176),0,(AH176+AJ176))</t>
  </si>
  <si>
    <t>=IF($F$13="yes",0,IF($P176="",0,ROUND(NL("SUM","G/L Budget Entry","Amount","Fund No.",$F$22,"G/L Account No.",$P176,"Company=",$D$6,"Global Dimension 1 Code","@@"&amp;$I176,"Global Dimension 2 Code",$F$12,"Date",$AN$3),0)))</t>
  </si>
  <si>
    <t>=IF($F$13="YES",AF176,AN176)</t>
  </si>
  <si>
    <t>=ABS(SUMIF(V176:AP176,"&gt;0")-SUMIF(V176:AP176,"&lt;0"))</t>
  </si>
  <si>
    <t>=IF(AQ177=0,"Hide","Show")</t>
  </si>
  <si>
    <t>=I176</t>
  </si>
  <si>
    <t>=IF(I177="","500000 51800",K177&amp;" "&amp;I177)</t>
  </si>
  <si>
    <t>=K177</t>
  </si>
  <si>
    <t>=IF($P177="","",NL("Rows","G/L Account","Name","No.",$P177,"Company=",$D$6))</t>
  </si>
  <si>
    <t>=IF($P177="",0,ROUND(NL("SUM","G/L Entry","Amount","G/L Account No.",$P177,"Fund No.",$F$22,"Global Dimension 2 Code",$F$12,"Global Dimension 1 Code","@@"&amp;$I177,"Company=",$D$6,"Transaction Type",T$4,"Posting Date",T$3),0))</t>
  </si>
  <si>
    <t>=IF(OR(V$1="hide",$P177=""),0,ROUND(NL("SUM","G/L Entry","Amount","G/L Account No.",$P177,"Fund No.",$F$22,"Global Dimension 2 Code",$F$12,"Global Dimension 1 Code","@@"&amp;$I177,"Company=",$D$6,"Transaction Type",V$4,"Posting Date",V$3),0))</t>
  </si>
  <si>
    <t>=IF(OR(X$1="hide",$P177=""),0,ROUND(NL("SUM","G/L Entry","Amount","G/L Account No.",$P177,"Fund No.",$F$22,"Global Dimension 2 Code",$F$12,"Global Dimension 1 Code","@@"&amp;$I177,"Company=",$D$6,"Transaction Type",X$4,"Posting Date",X$3),0))</t>
  </si>
  <si>
    <t>=IF(OR(Z$1="hide",$P177=""),0,ROUND(NL("SUM","G/L Entry","Amount","G/L Account No.",$P177,"Fund No.",$F$22,"Global Dimension 2 Code",$F$12,"Global Dimension 1 Code","@@"&amp;$I177,"Company=",$D$6,"Transaction Type",Z$4,"Posting Date",Z$3),0))</t>
  </si>
  <si>
    <t>=IF(OR(AB$1="hide",$P177=""),0,ROUND(NL("SUM","G/L Entry","Amount","G/L Account No.",$P177,"Fund No.",$F$22,"Global Dimension 2 Code",$F$12,"Global Dimension 1 Code","@@"&amp;$I177,"Company=",$D$6,"Transaction Type",AB$4,"Posting Date",AB$3),0))</t>
  </si>
  <si>
    <t>=IF(OR(AD$1="hide",$P177=""),0,ROUND(NL("SUM","G/L Entry","Amount","G/L Account No.",$P177,"Fund No.",$F$22,"Global Dimension 2 Code",$F$12,"Global Dimension 1 Code","@@"&amp;$I177,"Company=",$D$6,"Transaction Type",AD$4,"Posting Date",AD$3),0))</t>
  </si>
  <si>
    <t>=IF(OR(AF$1="hide",$P177=""),0,ROUND(NL("SUM","G/L Entry","Amount","G/L Account No.",$P177,"Fund No.",$F$22,"Global Dimension 2 Code",$F$12,"Global Dimension 1 Code","@@"&amp;$I177,"Company=",$D$6,"Transaction Type",AF$4,"Posting Date",AF$3),0))</t>
  </si>
  <si>
    <t>=IF(OR(AH$1="hide",$P177=""),0,(ROUND(NL("SUM","G/L Entry","Amount","G/L Account No.",$P177,"Fund No.",$F$22,"Global Dimension 2 Code",$F$12,"Global Dimension 1 Code","@@"&amp;$I177,"Company=",$D$6,"Transaction Type",AH$4,"Posting Date",AH$3),0)))</t>
  </si>
  <si>
    <t>=IF(ISERROR(AH177+AJ177),0,(AH177+AJ177))</t>
  </si>
  <si>
    <t>=IF($F$13="yes",0,IF($P177="",0,ROUND(NL("SUM","G/L Budget Entry","Amount","Fund No.",$F$22,"G/L Account No.",$P177,"Company=",$D$6,"Global Dimension 1 Code","@@"&amp;$I177,"Global Dimension 2 Code",$F$12,"Date",$AN$3),0)))</t>
  </si>
  <si>
    <t>=IF($F$13="YES",AF177,AN177)</t>
  </si>
  <si>
    <t>=ABS(SUMIF(V177:AP177,"&gt;0")-SUMIF(V177:AP177,"&lt;0"))</t>
  </si>
  <si>
    <t>=IF(AQ178=0,"Hide","Show")</t>
  </si>
  <si>
    <t>=I177</t>
  </si>
  <si>
    <t>=IF(I178="","500000 51800",K178&amp;" "&amp;I178)</t>
  </si>
  <si>
    <t>=K178</t>
  </si>
  <si>
    <t>=IF($P178="","",NL("Rows","G/L Account","Name","No.",$P178,"Company=",$D$6))</t>
  </si>
  <si>
    <t>=IF($P178="",0,ROUND(NL("SUM","G/L Entry","Amount","G/L Account No.",$P178,"Fund No.",$F$22,"Global Dimension 2 Code",$F$12,"Global Dimension 1 Code","@@"&amp;$I178,"Company=",$D$6,"Transaction Type",T$4,"Posting Date",T$3),0))</t>
  </si>
  <si>
    <t>=IF(OR(V$1="hide",$P178=""),0,ROUND(NL("SUM","G/L Entry","Amount","G/L Account No.",$P178,"Fund No.",$F$22,"Global Dimension 2 Code",$F$12,"Global Dimension 1 Code","@@"&amp;$I178,"Company=",$D$6,"Transaction Type",V$4,"Posting Date",V$3),0))</t>
  </si>
  <si>
    <t>=IF(OR(X$1="hide",$P178=""),0,ROUND(NL("SUM","G/L Entry","Amount","G/L Account No.",$P178,"Fund No.",$F$22,"Global Dimension 2 Code",$F$12,"Global Dimension 1 Code","@@"&amp;$I178,"Company=",$D$6,"Transaction Type",X$4,"Posting Date",X$3),0))</t>
  </si>
  <si>
    <t>=IF(OR(Z$1="hide",$P178=""),0,ROUND(NL("SUM","G/L Entry","Amount","G/L Account No.",$P178,"Fund No.",$F$22,"Global Dimension 2 Code",$F$12,"Global Dimension 1 Code","@@"&amp;$I178,"Company=",$D$6,"Transaction Type",Z$4,"Posting Date",Z$3),0))</t>
  </si>
  <si>
    <t>=IF(OR(AB$1="hide",$P178=""),0,ROUND(NL("SUM","G/L Entry","Amount","G/L Account No.",$P178,"Fund No.",$F$22,"Global Dimension 2 Code",$F$12,"Global Dimension 1 Code","@@"&amp;$I178,"Company=",$D$6,"Transaction Type",AB$4,"Posting Date",AB$3),0))</t>
  </si>
  <si>
    <t>=IF(OR(AD$1="hide",$P178=""),0,ROUND(NL("SUM","G/L Entry","Amount","G/L Account No.",$P178,"Fund No.",$F$22,"Global Dimension 2 Code",$F$12,"Global Dimension 1 Code","@@"&amp;$I178,"Company=",$D$6,"Transaction Type",AD$4,"Posting Date",AD$3),0))</t>
  </si>
  <si>
    <t>=IF(OR(AF$1="hide",$P178=""),0,ROUND(NL("SUM","G/L Entry","Amount","G/L Account No.",$P178,"Fund No.",$F$22,"Global Dimension 2 Code",$F$12,"Global Dimension 1 Code","@@"&amp;$I178,"Company=",$D$6,"Transaction Type",AF$4,"Posting Date",AF$3),0))</t>
  </si>
  <si>
    <t>=IF(OR(AH$1="hide",$P178=""),0,(ROUND(NL("SUM","G/L Entry","Amount","G/L Account No.",$P178,"Fund No.",$F$22,"Global Dimension 2 Code",$F$12,"Global Dimension 1 Code","@@"&amp;$I178,"Company=",$D$6,"Transaction Type",AH$4,"Posting Date",AH$3),0)))</t>
  </si>
  <si>
    <t>=IF(ISERROR(AH178+AJ178),0,(AH178+AJ178))</t>
  </si>
  <si>
    <t>=IF($F$13="yes",0,IF($P178="",0,ROUND(NL("SUM","G/L Budget Entry","Amount","Fund No.",$F$22,"G/L Account No.",$P178,"Company=",$D$6,"Global Dimension 1 Code","@@"&amp;$I178,"Global Dimension 2 Code",$F$12,"Date",$AN$3),0)))</t>
  </si>
  <si>
    <t>=IF($F$13="YES",AF178,AN178)</t>
  </si>
  <si>
    <t>=ABS(SUMIF(V178:AP178,"&gt;0")-SUMIF(V178:AP178,"&lt;0"))</t>
  </si>
  <si>
    <t>=IF(AQ179=0,"Hide","Show")</t>
  </si>
  <si>
    <t>=I178</t>
  </si>
  <si>
    <t>=IF(I179="","500000 51800",K179&amp;" "&amp;I179)</t>
  </si>
  <si>
    <t>=K179</t>
  </si>
  <si>
    <t>=IF($P179="","",NL("Rows","G/L Account","Name","No.",$P179,"Company=",$D$6))</t>
  </si>
  <si>
    <t>=IF($P179="",0,ROUND(NL("SUM","G/L Entry","Amount","G/L Account No.",$P179,"Fund No.",$F$22,"Global Dimension 2 Code",$F$12,"Global Dimension 1 Code","@@"&amp;$I179,"Company=",$D$6,"Transaction Type",T$4,"Posting Date",T$3),0))</t>
  </si>
  <si>
    <t>=IF(OR(V$1="hide",$P179=""),0,ROUND(NL("SUM","G/L Entry","Amount","G/L Account No.",$P179,"Fund No.",$F$22,"Global Dimension 2 Code",$F$12,"Global Dimension 1 Code","@@"&amp;$I179,"Company=",$D$6,"Transaction Type",V$4,"Posting Date",V$3),0))</t>
  </si>
  <si>
    <t>=IF(OR(X$1="hide",$P179=""),0,ROUND(NL("SUM","G/L Entry","Amount","G/L Account No.",$P179,"Fund No.",$F$22,"Global Dimension 2 Code",$F$12,"Global Dimension 1 Code","@@"&amp;$I179,"Company=",$D$6,"Transaction Type",X$4,"Posting Date",X$3),0))</t>
  </si>
  <si>
    <t>=IF(OR(Z$1="hide",$P179=""),0,ROUND(NL("SUM","G/L Entry","Amount","G/L Account No.",$P179,"Fund No.",$F$22,"Global Dimension 2 Code",$F$12,"Global Dimension 1 Code","@@"&amp;$I179,"Company=",$D$6,"Transaction Type",Z$4,"Posting Date",Z$3),0))</t>
  </si>
  <si>
    <t>=IF(OR(AB$1="hide",$P179=""),0,ROUND(NL("SUM","G/L Entry","Amount","G/L Account No.",$P179,"Fund No.",$F$22,"Global Dimension 2 Code",$F$12,"Global Dimension 1 Code","@@"&amp;$I179,"Company=",$D$6,"Transaction Type",AB$4,"Posting Date",AB$3),0))</t>
  </si>
  <si>
    <t>=IF(OR(AD$1="hide",$P179=""),0,ROUND(NL("SUM","G/L Entry","Amount","G/L Account No.",$P179,"Fund No.",$F$22,"Global Dimension 2 Code",$F$12,"Global Dimension 1 Code","@@"&amp;$I179,"Company=",$D$6,"Transaction Type",AD$4,"Posting Date",AD$3),0))</t>
  </si>
  <si>
    <t>=IF(OR(AF$1="hide",$P179=""),0,ROUND(NL("SUM","G/L Entry","Amount","G/L Account No.",$P179,"Fund No.",$F$22,"Global Dimension 2 Code",$F$12,"Global Dimension 1 Code","@@"&amp;$I179,"Company=",$D$6,"Transaction Type",AF$4,"Posting Date",AF$3),0))</t>
  </si>
  <si>
    <t>=IF(OR(AH$1="hide",$P179=""),0,(ROUND(NL("SUM","G/L Entry","Amount","G/L Account No.",$P179,"Fund No.",$F$22,"Global Dimension 2 Code",$F$12,"Global Dimension 1 Code","@@"&amp;$I179,"Company=",$D$6,"Transaction Type",AH$4,"Posting Date",AH$3),0)))</t>
  </si>
  <si>
    <t>=IF(ISERROR(AH179+AJ179),0,(AH179+AJ179))</t>
  </si>
  <si>
    <t>=IF($F$13="yes",0,IF($P179="",0,ROUND(NL("SUM","G/L Budget Entry","Amount","Fund No.",$F$22,"G/L Account No.",$P179,"Company=",$D$6,"Global Dimension 1 Code","@@"&amp;$I179,"Global Dimension 2 Code",$F$12,"Date",$AN$3),0)))</t>
  </si>
  <si>
    <t>=IF($F$13="YES",AF179,AN179)</t>
  </si>
  <si>
    <t>=ABS(SUMIF(V179:AP179,"&gt;0")-SUMIF(V179:AP179,"&lt;0"))</t>
  </si>
  <si>
    <t>=IF(AQ180=0,"Hide","Show")</t>
  </si>
  <si>
    <t>=I179</t>
  </si>
  <si>
    <t>="546043"</t>
  </si>
  <si>
    <t>=IF(I180="","500000 51800",K180&amp;" "&amp;I180)</t>
  </si>
  <si>
    <t>=K180</t>
  </si>
  <si>
    <t>=IF($P180="","",NL("Rows","G/L Account","Name","No.",$P180,"Company=",$D$6))</t>
  </si>
  <si>
    <t>=IF($P180="",0,ROUND(NL("SUM","G/L Entry","Amount","G/L Account No.",$P180,"Fund No.",$F$22,"Global Dimension 2 Code",$F$12,"Global Dimension 1 Code","@@"&amp;$I180,"Company=",$D$6,"Transaction Type",T$4,"Posting Date",T$3),0))</t>
  </si>
  <si>
    <t>=IF(OR(V$1="hide",$P180=""),0,ROUND(NL("SUM","G/L Entry","Amount","G/L Account No.",$P180,"Fund No.",$F$22,"Global Dimension 2 Code",$F$12,"Global Dimension 1 Code","@@"&amp;$I180,"Company=",$D$6,"Transaction Type",V$4,"Posting Date",V$3),0))</t>
  </si>
  <si>
    <t>=IF(OR(X$1="hide",$P180=""),0,ROUND(NL("SUM","G/L Entry","Amount","G/L Account No.",$P180,"Fund No.",$F$22,"Global Dimension 2 Code",$F$12,"Global Dimension 1 Code","@@"&amp;$I180,"Company=",$D$6,"Transaction Type",X$4,"Posting Date",X$3),0))</t>
  </si>
  <si>
    <t>=IF(OR(Z$1="hide",$P180=""),0,ROUND(NL("SUM","G/L Entry","Amount","G/L Account No.",$P180,"Fund No.",$F$22,"Global Dimension 2 Code",$F$12,"Global Dimension 1 Code","@@"&amp;$I180,"Company=",$D$6,"Transaction Type",Z$4,"Posting Date",Z$3),0))</t>
  </si>
  <si>
    <t>=IF(OR(AB$1="hide",$P180=""),0,ROUND(NL("SUM","G/L Entry","Amount","G/L Account No.",$P180,"Fund No.",$F$22,"Global Dimension 2 Code",$F$12,"Global Dimension 1 Code","@@"&amp;$I180,"Company=",$D$6,"Transaction Type",AB$4,"Posting Date",AB$3),0))</t>
  </si>
  <si>
    <t>=IF(OR(AD$1="hide",$P180=""),0,ROUND(NL("SUM","G/L Entry","Amount","G/L Account No.",$P180,"Fund No.",$F$22,"Global Dimension 2 Code",$F$12,"Global Dimension 1 Code","@@"&amp;$I180,"Company=",$D$6,"Transaction Type",AD$4,"Posting Date",AD$3),0))</t>
  </si>
  <si>
    <t>=IF(OR(AF$1="hide",$P180=""),0,ROUND(NL("SUM","G/L Entry","Amount","G/L Account No.",$P180,"Fund No.",$F$22,"Global Dimension 2 Code",$F$12,"Global Dimension 1 Code","@@"&amp;$I180,"Company=",$D$6,"Transaction Type",AF$4,"Posting Date",AF$3),0))</t>
  </si>
  <si>
    <t>=IF(OR(AH$1="hide",$P180=""),0,(ROUND(NL("SUM","G/L Entry","Amount","G/L Account No.",$P180,"Fund No.",$F$22,"Global Dimension 2 Code",$F$12,"Global Dimension 1 Code","@@"&amp;$I180,"Company=",$D$6,"Transaction Type",AH$4,"Posting Date",AH$3),0)))</t>
  </si>
  <si>
    <t>=IF(ISERROR(AH180+AJ180),0,(AH180+AJ180))</t>
  </si>
  <si>
    <t>=IF($F$13="yes",0,IF($P180="",0,ROUND(NL("SUM","G/L Budget Entry","Amount","Fund No.",$F$22,"G/L Account No.",$P180,"Company=",$D$6,"Global Dimension 1 Code","@@"&amp;$I180,"Global Dimension 2 Code",$F$12,"Date",$AN$3),0)))</t>
  </si>
  <si>
    <t>=IF($F$13="YES",AF180,AN180)</t>
  </si>
  <si>
    <t>=ABS(SUMIF(V180:AP180,"&gt;0")-SUMIF(V180:AP180,"&lt;0"))</t>
  </si>
  <si>
    <t>=IF(AQ181=0,"Hide","Show")</t>
  </si>
  <si>
    <t>=I180</t>
  </si>
  <si>
    <t>=IF(I181="","500000 51800",K181&amp;" "&amp;I181)</t>
  </si>
  <si>
    <t>=K181</t>
  </si>
  <si>
    <t>=IF($P181="","",NL("Rows","G/L Account","Name","No.",$P181,"Company=",$D$6))</t>
  </si>
  <si>
    <t>=IF($P181="",0,ROUND(NL("SUM","G/L Entry","Amount","G/L Account No.",$P181,"Fund No.",$F$22,"Global Dimension 2 Code",$F$12,"Global Dimension 1 Code","@@"&amp;$I181,"Company=",$D$6,"Transaction Type",T$4,"Posting Date",T$3),0))</t>
  </si>
  <si>
    <t>=IF(OR(V$1="hide",$P181=""),0,ROUND(NL("SUM","G/L Entry","Amount","G/L Account No.",$P181,"Fund No.",$F$22,"Global Dimension 2 Code",$F$12,"Global Dimension 1 Code","@@"&amp;$I181,"Company=",$D$6,"Transaction Type",V$4,"Posting Date",V$3),0))</t>
  </si>
  <si>
    <t>=IF(OR(X$1="hide",$P181=""),0,ROUND(NL("SUM","G/L Entry","Amount","G/L Account No.",$P181,"Fund No.",$F$22,"Global Dimension 2 Code",$F$12,"Global Dimension 1 Code","@@"&amp;$I181,"Company=",$D$6,"Transaction Type",X$4,"Posting Date",X$3),0))</t>
  </si>
  <si>
    <t>=IF(OR(Z$1="hide",$P181=""),0,ROUND(NL("SUM","G/L Entry","Amount","G/L Account No.",$P181,"Fund No.",$F$22,"Global Dimension 2 Code",$F$12,"Global Dimension 1 Code","@@"&amp;$I181,"Company=",$D$6,"Transaction Type",Z$4,"Posting Date",Z$3),0))</t>
  </si>
  <si>
    <t>=IF(OR(AB$1="hide",$P181=""),0,ROUND(NL("SUM","G/L Entry","Amount","G/L Account No.",$P181,"Fund No.",$F$22,"Global Dimension 2 Code",$F$12,"Global Dimension 1 Code","@@"&amp;$I181,"Company=",$D$6,"Transaction Type",AB$4,"Posting Date",AB$3),0))</t>
  </si>
  <si>
    <t>=IF(OR(AD$1="hide",$P181=""),0,ROUND(NL("SUM","G/L Entry","Amount","G/L Account No.",$P181,"Fund No.",$F$22,"Global Dimension 2 Code",$F$12,"Global Dimension 1 Code","@@"&amp;$I181,"Company=",$D$6,"Transaction Type",AD$4,"Posting Date",AD$3),0))</t>
  </si>
  <si>
    <t>=IF(OR(AF$1="hide",$P181=""),0,ROUND(NL("SUM","G/L Entry","Amount","G/L Account No.",$P181,"Fund No.",$F$22,"Global Dimension 2 Code",$F$12,"Global Dimension 1 Code","@@"&amp;$I181,"Company=",$D$6,"Transaction Type",AF$4,"Posting Date",AF$3),0))</t>
  </si>
  <si>
    <t>=IF(OR(AH$1="hide",$P181=""),0,(ROUND(NL("SUM","G/L Entry","Amount","G/L Account No.",$P181,"Fund No.",$F$22,"Global Dimension 2 Code",$F$12,"Global Dimension 1 Code","@@"&amp;$I181,"Company=",$D$6,"Transaction Type",AH$4,"Posting Date",AH$3),0)))</t>
  </si>
  <si>
    <t>=IF(ISERROR(AH181+AJ181),0,(AH181+AJ181))</t>
  </si>
  <si>
    <t>=IF($F$13="yes",0,IF($P181="",0,ROUND(NL("SUM","G/L Budget Entry","Amount","Fund No.",$F$22,"G/L Account No.",$P181,"Company=",$D$6,"Global Dimension 1 Code","@@"&amp;$I181,"Global Dimension 2 Code",$F$12,"Date",$AN$3),0)))</t>
  </si>
  <si>
    <t>=IF($F$13="YES",AF181,AN181)</t>
  </si>
  <si>
    <t>=ABS(SUMIF(V181:AP181,"&gt;0")-SUMIF(V181:AP181,"&lt;0"))</t>
  </si>
  <si>
    <t>=IF(AQ182=0,"Hide","Show")</t>
  </si>
  <si>
    <t>=I181</t>
  </si>
  <si>
    <t>="546081"</t>
  </si>
  <si>
    <t>=IF(I182="","500000 51800",K182&amp;" "&amp;I182)</t>
  </si>
  <si>
    <t>=K182</t>
  </si>
  <si>
    <t>=IF($P182="","",NL("Rows","G/L Account","Name","No.",$P182,"Company=",$D$6))</t>
  </si>
  <si>
    <t>=IF($P182="",0,ROUND(NL("SUM","G/L Entry","Amount","G/L Account No.",$P182,"Fund No.",$F$22,"Global Dimension 2 Code",$F$12,"Global Dimension 1 Code","@@"&amp;$I182,"Company=",$D$6,"Transaction Type",T$4,"Posting Date",T$3),0))</t>
  </si>
  <si>
    <t>=IF(OR(V$1="hide",$P182=""),0,ROUND(NL("SUM","G/L Entry","Amount","G/L Account No.",$P182,"Fund No.",$F$22,"Global Dimension 2 Code",$F$12,"Global Dimension 1 Code","@@"&amp;$I182,"Company=",$D$6,"Transaction Type",V$4,"Posting Date",V$3),0))</t>
  </si>
  <si>
    <t>=IF(OR(X$1="hide",$P182=""),0,ROUND(NL("SUM","G/L Entry","Amount","G/L Account No.",$P182,"Fund No.",$F$22,"Global Dimension 2 Code",$F$12,"Global Dimension 1 Code","@@"&amp;$I182,"Company=",$D$6,"Transaction Type",X$4,"Posting Date",X$3),0))</t>
  </si>
  <si>
    <t>=IF(OR(Z$1="hide",$P182=""),0,ROUND(NL("SUM","G/L Entry","Amount","G/L Account No.",$P182,"Fund No.",$F$22,"Global Dimension 2 Code",$F$12,"Global Dimension 1 Code","@@"&amp;$I182,"Company=",$D$6,"Transaction Type",Z$4,"Posting Date",Z$3),0))</t>
  </si>
  <si>
    <t>=IF(OR(AB$1="hide",$P182=""),0,ROUND(NL("SUM","G/L Entry","Amount","G/L Account No.",$P182,"Fund No.",$F$22,"Global Dimension 2 Code",$F$12,"Global Dimension 1 Code","@@"&amp;$I182,"Company=",$D$6,"Transaction Type",AB$4,"Posting Date",AB$3),0))</t>
  </si>
  <si>
    <t>=IF(OR(AD$1="hide",$P182=""),0,ROUND(NL("SUM","G/L Entry","Amount","G/L Account No.",$P182,"Fund No.",$F$22,"Global Dimension 2 Code",$F$12,"Global Dimension 1 Code","@@"&amp;$I182,"Company=",$D$6,"Transaction Type",AD$4,"Posting Date",AD$3),0))</t>
  </si>
  <si>
    <t>=IF(OR(AF$1="hide",$P182=""),0,ROUND(NL("SUM","G/L Entry","Amount","G/L Account No.",$P182,"Fund No.",$F$22,"Global Dimension 2 Code",$F$12,"Global Dimension 1 Code","@@"&amp;$I182,"Company=",$D$6,"Transaction Type",AF$4,"Posting Date",AF$3),0))</t>
  </si>
  <si>
    <t>=IF(OR(AH$1="hide",$P182=""),0,(ROUND(NL("SUM","G/L Entry","Amount","G/L Account No.",$P182,"Fund No.",$F$22,"Global Dimension 2 Code",$F$12,"Global Dimension 1 Code","@@"&amp;$I182,"Company=",$D$6,"Transaction Type",AH$4,"Posting Date",AH$3),0)))</t>
  </si>
  <si>
    <t>=IF(ISERROR(AH182+AJ182),0,(AH182+AJ182))</t>
  </si>
  <si>
    <t>=IF($F$13="yes",0,IF($P182="",0,ROUND(NL("SUM","G/L Budget Entry","Amount","Fund No.",$F$22,"G/L Account No.",$P182,"Company=",$D$6,"Global Dimension 1 Code","@@"&amp;$I182,"Global Dimension 2 Code",$F$12,"Date",$AN$3),0)))</t>
  </si>
  <si>
    <t>=IF($F$13="YES",AF182,AN182)</t>
  </si>
  <si>
    <t>=ABS(SUMIF(V182:AP182,"&gt;0")-SUMIF(V182:AP182,"&lt;0"))</t>
  </si>
  <si>
    <t>=IF(AQ183=0,"Hide","Show")</t>
  </si>
  <si>
    <t>=I182</t>
  </si>
  <si>
    <t>=IF(I183="","500000 51800",K183&amp;" "&amp;I183)</t>
  </si>
  <si>
    <t>=K183</t>
  </si>
  <si>
    <t>=IF($P183="","",NL("Rows","G/L Account","Name","No.",$P183,"Company=",$D$6))</t>
  </si>
  <si>
    <t>=IF($P183="",0,ROUND(NL("SUM","G/L Entry","Amount","G/L Account No.",$P183,"Fund No.",$F$22,"Global Dimension 2 Code",$F$12,"Global Dimension 1 Code","@@"&amp;$I183,"Company=",$D$6,"Transaction Type",T$4,"Posting Date",T$3),0))</t>
  </si>
  <si>
    <t>=IF(OR(V$1="hide",$P183=""),0,ROUND(NL("SUM","G/L Entry","Amount","G/L Account No.",$P183,"Fund No.",$F$22,"Global Dimension 2 Code",$F$12,"Global Dimension 1 Code","@@"&amp;$I183,"Company=",$D$6,"Transaction Type",V$4,"Posting Date",V$3),0))</t>
  </si>
  <si>
    <t>=IF(OR(X$1="hide",$P183=""),0,ROUND(NL("SUM","G/L Entry","Amount","G/L Account No.",$P183,"Fund No.",$F$22,"Global Dimension 2 Code",$F$12,"Global Dimension 1 Code","@@"&amp;$I183,"Company=",$D$6,"Transaction Type",X$4,"Posting Date",X$3),0))</t>
  </si>
  <si>
    <t>=IF(OR(Z$1="hide",$P183=""),0,ROUND(NL("SUM","G/L Entry","Amount","G/L Account No.",$P183,"Fund No.",$F$22,"Global Dimension 2 Code",$F$12,"Global Dimension 1 Code","@@"&amp;$I183,"Company=",$D$6,"Transaction Type",Z$4,"Posting Date",Z$3),0))</t>
  </si>
  <si>
    <t>=IF(OR(AB$1="hide",$P183=""),0,ROUND(NL("SUM","G/L Entry","Amount","G/L Account No.",$P183,"Fund No.",$F$22,"Global Dimension 2 Code",$F$12,"Global Dimension 1 Code","@@"&amp;$I183,"Company=",$D$6,"Transaction Type",AB$4,"Posting Date",AB$3),0))</t>
  </si>
  <si>
    <t>=IF(OR(AD$1="hide",$P183=""),0,ROUND(NL("SUM","G/L Entry","Amount","G/L Account No.",$P183,"Fund No.",$F$22,"Global Dimension 2 Code",$F$12,"Global Dimension 1 Code","@@"&amp;$I183,"Company=",$D$6,"Transaction Type",AD$4,"Posting Date",AD$3),0))</t>
  </si>
  <si>
    <t>=IF(OR(AF$1="hide",$P183=""),0,ROUND(NL("SUM","G/L Entry","Amount","G/L Account No.",$P183,"Fund No.",$F$22,"Global Dimension 2 Code",$F$12,"Global Dimension 1 Code","@@"&amp;$I183,"Company=",$D$6,"Transaction Type",AF$4,"Posting Date",AF$3),0))</t>
  </si>
  <si>
    <t>=IF(OR(AH$1="hide",$P183=""),0,(ROUND(NL("SUM","G/L Entry","Amount","G/L Account No.",$P183,"Fund No.",$F$22,"Global Dimension 2 Code",$F$12,"Global Dimension 1 Code","@@"&amp;$I183,"Company=",$D$6,"Transaction Type",AH$4,"Posting Date",AH$3),0)))</t>
  </si>
  <si>
    <t>=IF(ISERROR(AH183+AJ183),0,(AH183+AJ183))</t>
  </si>
  <si>
    <t>=IF($F$13="yes",0,IF($P183="",0,ROUND(NL("SUM","G/L Budget Entry","Amount","Fund No.",$F$22,"G/L Account No.",$P183,"Company=",$D$6,"Global Dimension 1 Code","@@"&amp;$I183,"Global Dimension 2 Code",$F$12,"Date",$AN$3),0)))</t>
  </si>
  <si>
    <t>=IF($F$13="YES",AF183,AN183)</t>
  </si>
  <si>
    <t>=ABS(SUMIF(V183:AP183,"&gt;0")-SUMIF(V183:AP183,"&lt;0"))</t>
  </si>
  <si>
    <t>=IF(AQ184=0,"Hide","Show")</t>
  </si>
  <si>
    <t>=I183</t>
  </si>
  <si>
    <t>="546104"</t>
  </si>
  <si>
    <t>=IF(I184="","500000 51800",K184&amp;" "&amp;I184)</t>
  </si>
  <si>
    <t>=K184</t>
  </si>
  <si>
    <t>=IF($P184="","",NL("Rows","G/L Account","Name","No.",$P184,"Company=",$D$6))</t>
  </si>
  <si>
    <t>=IF($P184="",0,ROUND(NL("SUM","G/L Entry","Amount","G/L Account No.",$P184,"Fund No.",$F$22,"Global Dimension 2 Code",$F$12,"Global Dimension 1 Code","@@"&amp;$I184,"Company=",$D$6,"Transaction Type",T$4,"Posting Date",T$3),0))</t>
  </si>
  <si>
    <t>=IF(OR(V$1="hide",$P184=""),0,ROUND(NL("SUM","G/L Entry","Amount","G/L Account No.",$P184,"Fund No.",$F$22,"Global Dimension 2 Code",$F$12,"Global Dimension 1 Code","@@"&amp;$I184,"Company=",$D$6,"Transaction Type",V$4,"Posting Date",V$3),0))</t>
  </si>
  <si>
    <t>=IF(OR(X$1="hide",$P184=""),0,ROUND(NL("SUM","G/L Entry","Amount","G/L Account No.",$P184,"Fund No.",$F$22,"Global Dimension 2 Code",$F$12,"Global Dimension 1 Code","@@"&amp;$I184,"Company=",$D$6,"Transaction Type",X$4,"Posting Date",X$3),0))</t>
  </si>
  <si>
    <t>=IF(OR(Z$1="hide",$P184=""),0,ROUND(NL("SUM","G/L Entry","Amount","G/L Account No.",$P184,"Fund No.",$F$22,"Global Dimension 2 Code",$F$12,"Global Dimension 1 Code","@@"&amp;$I184,"Company=",$D$6,"Transaction Type",Z$4,"Posting Date",Z$3),0))</t>
  </si>
  <si>
    <t>=IF(OR(AB$1="hide",$P184=""),0,ROUND(NL("SUM","G/L Entry","Amount","G/L Account No.",$P184,"Fund No.",$F$22,"Global Dimension 2 Code",$F$12,"Global Dimension 1 Code","@@"&amp;$I184,"Company=",$D$6,"Transaction Type",AB$4,"Posting Date",AB$3),0))</t>
  </si>
  <si>
    <t>=IF(OR(AD$1="hide",$P184=""),0,ROUND(NL("SUM","G/L Entry","Amount","G/L Account No.",$P184,"Fund No.",$F$22,"Global Dimension 2 Code",$F$12,"Global Dimension 1 Code","@@"&amp;$I184,"Company=",$D$6,"Transaction Type",AD$4,"Posting Date",AD$3),0))</t>
  </si>
  <si>
    <t>=IF(OR(AF$1="hide",$P184=""),0,ROUND(NL("SUM","G/L Entry","Amount","G/L Account No.",$P184,"Fund No.",$F$22,"Global Dimension 2 Code",$F$12,"Global Dimension 1 Code","@@"&amp;$I184,"Company=",$D$6,"Transaction Type",AF$4,"Posting Date",AF$3),0))</t>
  </si>
  <si>
    <t>=IF(OR(AH$1="hide",$P184=""),0,(ROUND(NL("SUM","G/L Entry","Amount","G/L Account No.",$P184,"Fund No.",$F$22,"Global Dimension 2 Code",$F$12,"Global Dimension 1 Code","@@"&amp;$I184,"Company=",$D$6,"Transaction Type",AH$4,"Posting Date",AH$3),0)))</t>
  </si>
  <si>
    <t>=IF(ISERROR(AH184+AJ184),0,(AH184+AJ184))</t>
  </si>
  <si>
    <t>=IF($F$13="yes",0,IF($P184="",0,ROUND(NL("SUM","G/L Budget Entry","Amount","Fund No.",$F$22,"G/L Account No.",$P184,"Company=",$D$6,"Global Dimension 1 Code","@@"&amp;$I184,"Global Dimension 2 Code",$F$12,"Date",$AN$3),0)))</t>
  </si>
  <si>
    <t>=IF($F$13="YES",AF184,AN184)</t>
  </si>
  <si>
    <t>=ABS(SUMIF(V184:AP184,"&gt;0")-SUMIF(V184:AP184,"&lt;0"))</t>
  </si>
  <si>
    <t>=IF(AQ185=0,"Hide","Show")</t>
  </si>
  <si>
    <t>=I184</t>
  </si>
  <si>
    <t>="546135"</t>
  </si>
  <si>
    <t>=IF(I185="","500000 51800",K185&amp;" "&amp;I185)</t>
  </si>
  <si>
    <t>=K185</t>
  </si>
  <si>
    <t>=IF($P185="","",NL("Rows","G/L Account","Name","No.",$P185,"Company=",$D$6))</t>
  </si>
  <si>
    <t>=IF($P185="",0,ROUND(NL("SUM","G/L Entry","Amount","G/L Account No.",$P185,"Fund No.",$F$22,"Global Dimension 2 Code",$F$12,"Global Dimension 1 Code","@@"&amp;$I185,"Company=",$D$6,"Transaction Type",T$4,"Posting Date",T$3),0))</t>
  </si>
  <si>
    <t>=IF(OR(V$1="hide",$P185=""),0,ROUND(NL("SUM","G/L Entry","Amount","G/L Account No.",$P185,"Fund No.",$F$22,"Global Dimension 2 Code",$F$12,"Global Dimension 1 Code","@@"&amp;$I185,"Company=",$D$6,"Transaction Type",V$4,"Posting Date",V$3),0))</t>
  </si>
  <si>
    <t>=IF(OR(X$1="hide",$P185=""),0,ROUND(NL("SUM","G/L Entry","Amount","G/L Account No.",$P185,"Fund No.",$F$22,"Global Dimension 2 Code",$F$12,"Global Dimension 1 Code","@@"&amp;$I185,"Company=",$D$6,"Transaction Type",X$4,"Posting Date",X$3),0))</t>
  </si>
  <si>
    <t>=IF(OR(Z$1="hide",$P185=""),0,ROUND(NL("SUM","G/L Entry","Amount","G/L Account No.",$P185,"Fund No.",$F$22,"Global Dimension 2 Code",$F$12,"Global Dimension 1 Code","@@"&amp;$I185,"Company=",$D$6,"Transaction Type",Z$4,"Posting Date",Z$3),0))</t>
  </si>
  <si>
    <t>=IF(OR(AB$1="hide",$P185=""),0,ROUND(NL("SUM","G/L Entry","Amount","G/L Account No.",$P185,"Fund No.",$F$22,"Global Dimension 2 Code",$F$12,"Global Dimension 1 Code","@@"&amp;$I185,"Company=",$D$6,"Transaction Type",AB$4,"Posting Date",AB$3),0))</t>
  </si>
  <si>
    <t>=IF(OR(AD$1="hide",$P185=""),0,ROUND(NL("SUM","G/L Entry","Amount","G/L Account No.",$P185,"Fund No.",$F$22,"Global Dimension 2 Code",$F$12,"Global Dimension 1 Code","@@"&amp;$I185,"Company=",$D$6,"Transaction Type",AD$4,"Posting Date",AD$3),0))</t>
  </si>
  <si>
    <t>=IF(OR(AF$1="hide",$P185=""),0,ROUND(NL("SUM","G/L Entry","Amount","G/L Account No.",$P185,"Fund No.",$F$22,"Global Dimension 2 Code",$F$12,"Global Dimension 1 Code","@@"&amp;$I185,"Company=",$D$6,"Transaction Type",AF$4,"Posting Date",AF$3),0))</t>
  </si>
  <si>
    <t>=IF(OR(AH$1="hide",$P185=""),0,(ROUND(NL("SUM","G/L Entry","Amount","G/L Account No.",$P185,"Fund No.",$F$22,"Global Dimension 2 Code",$F$12,"Global Dimension 1 Code","@@"&amp;$I185,"Company=",$D$6,"Transaction Type",AH$4,"Posting Date",AH$3),0)))</t>
  </si>
  <si>
    <t>=IF(ISERROR(AH185+AJ185),0,(AH185+AJ185))</t>
  </si>
  <si>
    <t>=IF($F$13="yes",0,IF($P185="",0,ROUND(NL("SUM","G/L Budget Entry","Amount","Fund No.",$F$22,"G/L Account No.",$P185,"Company=",$D$6,"Global Dimension 1 Code","@@"&amp;$I185,"Global Dimension 2 Code",$F$12,"Date",$AN$3),0)))</t>
  </si>
  <si>
    <t>=IF($F$13="YES",AF185,AN185)</t>
  </si>
  <si>
    <t>=ABS(SUMIF(V185:AP185,"&gt;0")-SUMIF(V185:AP185,"&lt;0"))</t>
  </si>
  <si>
    <t>=IF(AQ186=0,"Hide","Show")</t>
  </si>
  <si>
    <t>=I185</t>
  </si>
  <si>
    <t>="546223"</t>
  </si>
  <si>
    <t>=IF(I186="","500000 51800",K186&amp;" "&amp;I186)</t>
  </si>
  <si>
    <t>=K186</t>
  </si>
  <si>
    <t>=IF($P186="","",NL("Rows","G/L Account","Name","No.",$P186,"Company=",$D$6))</t>
  </si>
  <si>
    <t>=IF($P186="",0,ROUND(NL("SUM","G/L Entry","Amount","G/L Account No.",$P186,"Fund No.",$F$22,"Global Dimension 2 Code",$F$12,"Global Dimension 1 Code","@@"&amp;$I186,"Company=",$D$6,"Transaction Type",T$4,"Posting Date",T$3),0))</t>
  </si>
  <si>
    <t>=IF(OR(V$1="hide",$P186=""),0,ROUND(NL("SUM","G/L Entry","Amount","G/L Account No.",$P186,"Fund No.",$F$22,"Global Dimension 2 Code",$F$12,"Global Dimension 1 Code","@@"&amp;$I186,"Company=",$D$6,"Transaction Type",V$4,"Posting Date",V$3),0))</t>
  </si>
  <si>
    <t>=IF(OR(X$1="hide",$P186=""),0,ROUND(NL("SUM","G/L Entry","Amount","G/L Account No.",$P186,"Fund No.",$F$22,"Global Dimension 2 Code",$F$12,"Global Dimension 1 Code","@@"&amp;$I186,"Company=",$D$6,"Transaction Type",X$4,"Posting Date",X$3),0))</t>
  </si>
  <si>
    <t>=IF(OR(Z$1="hide",$P186=""),0,ROUND(NL("SUM","G/L Entry","Amount","G/L Account No.",$P186,"Fund No.",$F$22,"Global Dimension 2 Code",$F$12,"Global Dimension 1 Code","@@"&amp;$I186,"Company=",$D$6,"Transaction Type",Z$4,"Posting Date",Z$3),0))</t>
  </si>
  <si>
    <t>=IF(OR(AB$1="hide",$P186=""),0,ROUND(NL("SUM","G/L Entry","Amount","G/L Account No.",$P186,"Fund No.",$F$22,"Global Dimension 2 Code",$F$12,"Global Dimension 1 Code","@@"&amp;$I186,"Company=",$D$6,"Transaction Type",AB$4,"Posting Date",AB$3),0))</t>
  </si>
  <si>
    <t>=IF(OR(AD$1="hide",$P186=""),0,ROUND(NL("SUM","G/L Entry","Amount","G/L Account No.",$P186,"Fund No.",$F$22,"Global Dimension 2 Code",$F$12,"Global Dimension 1 Code","@@"&amp;$I186,"Company=",$D$6,"Transaction Type",AD$4,"Posting Date",AD$3),0))</t>
  </si>
  <si>
    <t>=IF(OR(AF$1="hide",$P186=""),0,ROUND(NL("SUM","G/L Entry","Amount","G/L Account No.",$P186,"Fund No.",$F$22,"Global Dimension 2 Code",$F$12,"Global Dimension 1 Code","@@"&amp;$I186,"Company=",$D$6,"Transaction Type",AF$4,"Posting Date",AF$3),0))</t>
  </si>
  <si>
    <t>=IF(OR(AH$1="hide",$P186=""),0,(ROUND(NL("SUM","G/L Entry","Amount","G/L Account No.",$P186,"Fund No.",$F$22,"Global Dimension 2 Code",$F$12,"Global Dimension 1 Code","@@"&amp;$I186,"Company=",$D$6,"Transaction Type",AH$4,"Posting Date",AH$3),0)))</t>
  </si>
  <si>
    <t>=IF(ISERROR(AH186+AJ186),0,(AH186+AJ186))</t>
  </si>
  <si>
    <t>=IF($F$13="yes",0,IF($P186="",0,ROUND(NL("SUM","G/L Budget Entry","Amount","Fund No.",$F$22,"G/L Account No.",$P186,"Company=",$D$6,"Global Dimension 1 Code","@@"&amp;$I186,"Global Dimension 2 Code",$F$12,"Date",$AN$3),0)))</t>
  </si>
  <si>
    <t>=IF($F$13="YES",AF186,AN186)</t>
  </si>
  <si>
    <t>=ABS(SUMIF(V186:AP186,"&gt;0")-SUMIF(V186:AP186,"&lt;0"))</t>
  </si>
  <si>
    <t>=IF(AQ187=0,"Hide","Show")</t>
  </si>
  <si>
    <t>=I186</t>
  </si>
  <si>
    <t>="546224"</t>
  </si>
  <si>
    <t>=IF(I187="","500000 51800",K187&amp;" "&amp;I187)</t>
  </si>
  <si>
    <t>=K187</t>
  </si>
  <si>
    <t>=IF($P187="","",NL("Rows","G/L Account","Name","No.",$P187,"Company=",$D$6))</t>
  </si>
  <si>
    <t>=IF($P187="",0,ROUND(NL("SUM","G/L Entry","Amount","G/L Account No.",$P187,"Fund No.",$F$22,"Global Dimension 2 Code",$F$12,"Global Dimension 1 Code","@@"&amp;$I187,"Company=",$D$6,"Transaction Type",T$4,"Posting Date",T$3),0))</t>
  </si>
  <si>
    <t>=IF(OR(V$1="hide",$P187=""),0,ROUND(NL("SUM","G/L Entry","Amount","G/L Account No.",$P187,"Fund No.",$F$22,"Global Dimension 2 Code",$F$12,"Global Dimension 1 Code","@@"&amp;$I187,"Company=",$D$6,"Transaction Type",V$4,"Posting Date",V$3),0))</t>
  </si>
  <si>
    <t>=IF(OR(X$1="hide",$P187=""),0,ROUND(NL("SUM","G/L Entry","Amount","G/L Account No.",$P187,"Fund No.",$F$22,"Global Dimension 2 Code",$F$12,"Global Dimension 1 Code","@@"&amp;$I187,"Company=",$D$6,"Transaction Type",X$4,"Posting Date",X$3),0))</t>
  </si>
  <si>
    <t>=IF(OR(Z$1="hide",$P187=""),0,ROUND(NL("SUM","G/L Entry","Amount","G/L Account No.",$P187,"Fund No.",$F$22,"Global Dimension 2 Code",$F$12,"Global Dimension 1 Code","@@"&amp;$I187,"Company=",$D$6,"Transaction Type",Z$4,"Posting Date",Z$3),0))</t>
  </si>
  <si>
    <t>=IF(OR(AB$1="hide",$P187=""),0,ROUND(NL("SUM","G/L Entry","Amount","G/L Account No.",$P187,"Fund No.",$F$22,"Global Dimension 2 Code",$F$12,"Global Dimension 1 Code","@@"&amp;$I187,"Company=",$D$6,"Transaction Type",AB$4,"Posting Date",AB$3),0))</t>
  </si>
  <si>
    <t>=IF(OR(AD$1="hide",$P187=""),0,ROUND(NL("SUM","G/L Entry","Amount","G/L Account No.",$P187,"Fund No.",$F$22,"Global Dimension 2 Code",$F$12,"Global Dimension 1 Code","@@"&amp;$I187,"Company=",$D$6,"Transaction Type",AD$4,"Posting Date",AD$3),0))</t>
  </si>
  <si>
    <t>=IF(OR(AF$1="hide",$P187=""),0,ROUND(NL("SUM","G/L Entry","Amount","G/L Account No.",$P187,"Fund No.",$F$22,"Global Dimension 2 Code",$F$12,"Global Dimension 1 Code","@@"&amp;$I187,"Company=",$D$6,"Transaction Type",AF$4,"Posting Date",AF$3),0))</t>
  </si>
  <si>
    <t>=IF(OR(AH$1="hide",$P187=""),0,(ROUND(NL("SUM","G/L Entry","Amount","G/L Account No.",$P187,"Fund No.",$F$22,"Global Dimension 2 Code",$F$12,"Global Dimension 1 Code","@@"&amp;$I187,"Company=",$D$6,"Transaction Type",AH$4,"Posting Date",AH$3),0)))</t>
  </si>
  <si>
    <t>=IF(ISERROR(AH187+AJ187),0,(AH187+AJ187))</t>
  </si>
  <si>
    <t>=IF($F$13="yes",0,IF($P187="",0,ROUND(NL("SUM","G/L Budget Entry","Amount","Fund No.",$F$22,"G/L Account No.",$P187,"Company=",$D$6,"Global Dimension 1 Code","@@"&amp;$I187,"Global Dimension 2 Code",$F$12,"Date",$AN$3),0)))</t>
  </si>
  <si>
    <t>=IF($F$13="YES",AF187,AN187)</t>
  </si>
  <si>
    <t>=ABS(SUMIF(V187:AP187,"&gt;0")-SUMIF(V187:AP187,"&lt;0"))</t>
  </si>
  <si>
    <t>=IF(AQ188=0,"Hide","Show")</t>
  </si>
  <si>
    <t>=I187</t>
  </si>
  <si>
    <t>="546225"</t>
  </si>
  <si>
    <t>=IF(I188="","500000 51800",K188&amp;" "&amp;I188)</t>
  </si>
  <si>
    <t>=K188</t>
  </si>
  <si>
    <t>=IF($P188="","",NL("Rows","G/L Account","Name","No.",$P188,"Company=",$D$6))</t>
  </si>
  <si>
    <t>=IF($P188="",0,ROUND(NL("SUM","G/L Entry","Amount","G/L Account No.",$P188,"Fund No.",$F$22,"Global Dimension 2 Code",$F$12,"Global Dimension 1 Code","@@"&amp;$I188,"Company=",$D$6,"Transaction Type",T$4,"Posting Date",T$3),0))</t>
  </si>
  <si>
    <t>=IF(OR(V$1="hide",$P188=""),0,ROUND(NL("SUM","G/L Entry","Amount","G/L Account No.",$P188,"Fund No.",$F$22,"Global Dimension 2 Code",$F$12,"Global Dimension 1 Code","@@"&amp;$I188,"Company=",$D$6,"Transaction Type",V$4,"Posting Date",V$3),0))</t>
  </si>
  <si>
    <t>=IF(OR(X$1="hide",$P188=""),0,ROUND(NL("SUM","G/L Entry","Amount","G/L Account No.",$P188,"Fund No.",$F$22,"Global Dimension 2 Code",$F$12,"Global Dimension 1 Code","@@"&amp;$I188,"Company=",$D$6,"Transaction Type",X$4,"Posting Date",X$3),0))</t>
  </si>
  <si>
    <t>=IF(OR(Z$1="hide",$P188=""),0,ROUND(NL("SUM","G/L Entry","Amount","G/L Account No.",$P188,"Fund No.",$F$22,"Global Dimension 2 Code",$F$12,"Global Dimension 1 Code","@@"&amp;$I188,"Company=",$D$6,"Transaction Type",Z$4,"Posting Date",Z$3),0))</t>
  </si>
  <si>
    <t>=IF(OR(AB$1="hide",$P188=""),0,ROUND(NL("SUM","G/L Entry","Amount","G/L Account No.",$P188,"Fund No.",$F$22,"Global Dimension 2 Code",$F$12,"Global Dimension 1 Code","@@"&amp;$I188,"Company=",$D$6,"Transaction Type",AB$4,"Posting Date",AB$3),0))</t>
  </si>
  <si>
    <t>=IF(OR(AD$1="hide",$P188=""),0,ROUND(NL("SUM","G/L Entry","Amount","G/L Account No.",$P188,"Fund No.",$F$22,"Global Dimension 2 Code",$F$12,"Global Dimension 1 Code","@@"&amp;$I188,"Company=",$D$6,"Transaction Type",AD$4,"Posting Date",AD$3),0))</t>
  </si>
  <si>
    <t>=IF(OR(AF$1="hide",$P188=""),0,ROUND(NL("SUM","G/L Entry","Amount","G/L Account No.",$P188,"Fund No.",$F$22,"Global Dimension 2 Code",$F$12,"Global Dimension 1 Code","@@"&amp;$I188,"Company=",$D$6,"Transaction Type",AF$4,"Posting Date",AF$3),0))</t>
  </si>
  <si>
    <t>=IF(OR(AH$1="hide",$P188=""),0,(ROUND(NL("SUM","G/L Entry","Amount","G/L Account No.",$P188,"Fund No.",$F$22,"Global Dimension 2 Code",$F$12,"Global Dimension 1 Code","@@"&amp;$I188,"Company=",$D$6,"Transaction Type",AH$4,"Posting Date",AH$3),0)))</t>
  </si>
  <si>
    <t>=IF(ISERROR(AH188+AJ188),0,(AH188+AJ188))</t>
  </si>
  <si>
    <t>=IF($F$13="yes",0,IF($P188="",0,ROUND(NL("SUM","G/L Budget Entry","Amount","Fund No.",$F$22,"G/L Account No.",$P188,"Company=",$D$6,"Global Dimension 1 Code","@@"&amp;$I188,"Global Dimension 2 Code",$F$12,"Date",$AN$3),0)))</t>
  </si>
  <si>
    <t>=IF($F$13="YES",AF188,AN188)</t>
  </si>
  <si>
    <t>=ABS(SUMIF(V188:AP188,"&gt;0")-SUMIF(V188:AP188,"&lt;0"))</t>
  </si>
  <si>
    <t>=IF(AQ189=0,"Hide","Show")</t>
  </si>
  <si>
    <t>=I188</t>
  </si>
  <si>
    <t>="546312"</t>
  </si>
  <si>
    <t>=IF(I189="","500000 51800",K189&amp;" "&amp;I189)</t>
  </si>
  <si>
    <t>=K189</t>
  </si>
  <si>
    <t>=IF($P189="","",NL("Rows","G/L Account","Name","No.",$P189,"Company=",$D$6))</t>
  </si>
  <si>
    <t>=IF($P189="",0,ROUND(NL("SUM","G/L Entry","Amount","G/L Account No.",$P189,"Fund No.",$F$22,"Global Dimension 2 Code",$F$12,"Global Dimension 1 Code","@@"&amp;$I189,"Company=",$D$6,"Transaction Type",T$4,"Posting Date",T$3),0))</t>
  </si>
  <si>
    <t>=IF(OR(V$1="hide",$P189=""),0,ROUND(NL("SUM","G/L Entry","Amount","G/L Account No.",$P189,"Fund No.",$F$22,"Global Dimension 2 Code",$F$12,"Global Dimension 1 Code","@@"&amp;$I189,"Company=",$D$6,"Transaction Type",V$4,"Posting Date",V$3),0))</t>
  </si>
  <si>
    <t>=IF(OR(X$1="hide",$P189=""),0,ROUND(NL("SUM","G/L Entry","Amount","G/L Account No.",$P189,"Fund No.",$F$22,"Global Dimension 2 Code",$F$12,"Global Dimension 1 Code","@@"&amp;$I189,"Company=",$D$6,"Transaction Type",X$4,"Posting Date",X$3),0))</t>
  </si>
  <si>
    <t>=IF(OR(Z$1="hide",$P189=""),0,ROUND(NL("SUM","G/L Entry","Amount","G/L Account No.",$P189,"Fund No.",$F$22,"Global Dimension 2 Code",$F$12,"Global Dimension 1 Code","@@"&amp;$I189,"Company=",$D$6,"Transaction Type",Z$4,"Posting Date",Z$3),0))</t>
  </si>
  <si>
    <t>=IF(OR(AB$1="hide",$P189=""),0,ROUND(NL("SUM","G/L Entry","Amount","G/L Account No.",$P189,"Fund No.",$F$22,"Global Dimension 2 Code",$F$12,"Global Dimension 1 Code","@@"&amp;$I189,"Company=",$D$6,"Transaction Type",AB$4,"Posting Date",AB$3),0))</t>
  </si>
  <si>
    <t>=IF(OR(AD$1="hide",$P189=""),0,ROUND(NL("SUM","G/L Entry","Amount","G/L Account No.",$P189,"Fund No.",$F$22,"Global Dimension 2 Code",$F$12,"Global Dimension 1 Code","@@"&amp;$I189,"Company=",$D$6,"Transaction Type",AD$4,"Posting Date",AD$3),0))</t>
  </si>
  <si>
    <t>=IF(OR(AF$1="hide",$P189=""),0,ROUND(NL("SUM","G/L Entry","Amount","G/L Account No.",$P189,"Fund No.",$F$22,"Global Dimension 2 Code",$F$12,"Global Dimension 1 Code","@@"&amp;$I189,"Company=",$D$6,"Transaction Type",AF$4,"Posting Date",AF$3),0))</t>
  </si>
  <si>
    <t>=IF(OR(AH$1="hide",$P189=""),0,(ROUND(NL("SUM","G/L Entry","Amount","G/L Account No.",$P189,"Fund No.",$F$22,"Global Dimension 2 Code",$F$12,"Global Dimension 1 Code","@@"&amp;$I189,"Company=",$D$6,"Transaction Type",AH$4,"Posting Date",AH$3),0)))</t>
  </si>
  <si>
    <t>=IF(ISERROR(AH189+AJ189),0,(AH189+AJ189))</t>
  </si>
  <si>
    <t>=IF($F$13="yes",0,IF($P189="",0,ROUND(NL("SUM","G/L Budget Entry","Amount","Fund No.",$F$22,"G/L Account No.",$P189,"Company=",$D$6,"Global Dimension 1 Code","@@"&amp;$I189,"Global Dimension 2 Code",$F$12,"Date",$AN$3),0)))</t>
  </si>
  <si>
    <t>=IF($F$13="YES",AF189,AN189)</t>
  </si>
  <si>
    <t>=ABS(SUMIF(V189:AP189,"&gt;0")-SUMIF(V189:AP189,"&lt;0"))</t>
  </si>
  <si>
    <t>=IF(AQ190=0,"Hide","Show")</t>
  </si>
  <si>
    <t>=I189</t>
  </si>
  <si>
    <t>="546325"</t>
  </si>
  <si>
    <t>=IF(I190="","500000 51800",K190&amp;" "&amp;I190)</t>
  </si>
  <si>
    <t>=K190</t>
  </si>
  <si>
    <t>=IF($P190="","",NL("Rows","G/L Account","Name","No.",$P190,"Company=",$D$6))</t>
  </si>
  <si>
    <t>=IF($P190="",0,ROUND(NL("SUM","G/L Entry","Amount","G/L Account No.",$P190,"Fund No.",$F$22,"Global Dimension 2 Code",$F$12,"Global Dimension 1 Code","@@"&amp;$I190,"Company=",$D$6,"Transaction Type",T$4,"Posting Date",T$3),0))</t>
  </si>
  <si>
    <t>=IF(OR(V$1="hide",$P190=""),0,ROUND(NL("SUM","G/L Entry","Amount","G/L Account No.",$P190,"Fund No.",$F$22,"Global Dimension 2 Code",$F$12,"Global Dimension 1 Code","@@"&amp;$I190,"Company=",$D$6,"Transaction Type",V$4,"Posting Date",V$3),0))</t>
  </si>
  <si>
    <t>=IF(OR(X$1="hide",$P190=""),0,ROUND(NL("SUM","G/L Entry","Amount","G/L Account No.",$P190,"Fund No.",$F$22,"Global Dimension 2 Code",$F$12,"Global Dimension 1 Code","@@"&amp;$I190,"Company=",$D$6,"Transaction Type",X$4,"Posting Date",X$3),0))</t>
  </si>
  <si>
    <t>=IF(OR(Z$1="hide",$P190=""),0,ROUND(NL("SUM","G/L Entry","Amount","G/L Account No.",$P190,"Fund No.",$F$22,"Global Dimension 2 Code",$F$12,"Global Dimension 1 Code","@@"&amp;$I190,"Company=",$D$6,"Transaction Type",Z$4,"Posting Date",Z$3),0))</t>
  </si>
  <si>
    <t>=IF(OR(AB$1="hide",$P190=""),0,ROUND(NL("SUM","G/L Entry","Amount","G/L Account No.",$P190,"Fund No.",$F$22,"Global Dimension 2 Code",$F$12,"Global Dimension 1 Code","@@"&amp;$I190,"Company=",$D$6,"Transaction Type",AB$4,"Posting Date",AB$3),0))</t>
  </si>
  <si>
    <t>=IF(OR(AD$1="hide",$P190=""),0,ROUND(NL("SUM","G/L Entry","Amount","G/L Account No.",$P190,"Fund No.",$F$22,"Global Dimension 2 Code",$F$12,"Global Dimension 1 Code","@@"&amp;$I190,"Company=",$D$6,"Transaction Type",AD$4,"Posting Date",AD$3),0))</t>
  </si>
  <si>
    <t>=IF(OR(AF$1="hide",$P190=""),0,ROUND(NL("SUM","G/L Entry","Amount","G/L Account No.",$P190,"Fund No.",$F$22,"Global Dimension 2 Code",$F$12,"Global Dimension 1 Code","@@"&amp;$I190,"Company=",$D$6,"Transaction Type",AF$4,"Posting Date",AF$3),0))</t>
  </si>
  <si>
    <t>=IF(OR(AH$1="hide",$P190=""),0,(ROUND(NL("SUM","G/L Entry","Amount","G/L Account No.",$P190,"Fund No.",$F$22,"Global Dimension 2 Code",$F$12,"Global Dimension 1 Code","@@"&amp;$I190,"Company=",$D$6,"Transaction Type",AH$4,"Posting Date",AH$3),0)))</t>
  </si>
  <si>
    <t>=IF(ISERROR(AH190+AJ190),0,(AH190+AJ190))</t>
  </si>
  <si>
    <t>=IF($F$13="yes",0,IF($P190="",0,ROUND(NL("SUM","G/L Budget Entry","Amount","Fund No.",$F$22,"G/L Account No.",$P190,"Company=",$D$6,"Global Dimension 1 Code","@@"&amp;$I190,"Global Dimension 2 Code",$F$12,"Date",$AN$3),0)))</t>
  </si>
  <si>
    <t>=IF($F$13="YES",AF190,AN190)</t>
  </si>
  <si>
    <t>=ABS(SUMIF(V190:AP190,"&gt;0")-SUMIF(V190:AP190,"&lt;0"))</t>
  </si>
  <si>
    <t>=IF(AQ191=0,"Hide","Show")</t>
  </si>
  <si>
    <t>=I190</t>
  </si>
  <si>
    <t>=IF(I191="","500000 51800",K191&amp;" "&amp;I191)</t>
  </si>
  <si>
    <t>=K191</t>
  </si>
  <si>
    <t>=IF($P191="","",NL("Rows","G/L Account","Name","No.",$P191,"Company=",$D$6))</t>
  </si>
  <si>
    <t>=IF($P191="",0,ROUND(NL("SUM","G/L Entry","Amount","G/L Account No.",$P191,"Fund No.",$F$22,"Global Dimension 2 Code",$F$12,"Global Dimension 1 Code","@@"&amp;$I191,"Company=",$D$6,"Transaction Type",T$4,"Posting Date",T$3),0))</t>
  </si>
  <si>
    <t>=IF(OR(V$1="hide",$P191=""),0,ROUND(NL("SUM","G/L Entry","Amount","G/L Account No.",$P191,"Fund No.",$F$22,"Global Dimension 2 Code",$F$12,"Global Dimension 1 Code","@@"&amp;$I191,"Company=",$D$6,"Transaction Type",V$4,"Posting Date",V$3),0))</t>
  </si>
  <si>
    <t>=IF(OR(X$1="hide",$P191=""),0,ROUND(NL("SUM","G/L Entry","Amount","G/L Account No.",$P191,"Fund No.",$F$22,"Global Dimension 2 Code",$F$12,"Global Dimension 1 Code","@@"&amp;$I191,"Company=",$D$6,"Transaction Type",X$4,"Posting Date",X$3),0))</t>
  </si>
  <si>
    <t>=IF(OR(Z$1="hide",$P191=""),0,ROUND(NL("SUM","G/L Entry","Amount","G/L Account No.",$P191,"Fund No.",$F$22,"Global Dimension 2 Code",$F$12,"Global Dimension 1 Code","@@"&amp;$I191,"Company=",$D$6,"Transaction Type",Z$4,"Posting Date",Z$3),0))</t>
  </si>
  <si>
    <t>=IF(OR(AB$1="hide",$P191=""),0,ROUND(NL("SUM","G/L Entry","Amount","G/L Account No.",$P191,"Fund No.",$F$22,"Global Dimension 2 Code",$F$12,"Global Dimension 1 Code","@@"&amp;$I191,"Company=",$D$6,"Transaction Type",AB$4,"Posting Date",AB$3),0))</t>
  </si>
  <si>
    <t>=IF(OR(AD$1="hide",$P191=""),0,ROUND(NL("SUM","G/L Entry","Amount","G/L Account No.",$P191,"Fund No.",$F$22,"Global Dimension 2 Code",$F$12,"Global Dimension 1 Code","@@"&amp;$I191,"Company=",$D$6,"Transaction Type",AD$4,"Posting Date",AD$3),0))</t>
  </si>
  <si>
    <t>=IF(OR(AF$1="hide",$P191=""),0,ROUND(NL("SUM","G/L Entry","Amount","G/L Account No.",$P191,"Fund No.",$F$22,"Global Dimension 2 Code",$F$12,"Global Dimension 1 Code","@@"&amp;$I191,"Company=",$D$6,"Transaction Type",AF$4,"Posting Date",AF$3),0))</t>
  </si>
  <si>
    <t>=IF(OR(AH$1="hide",$P191=""),0,(ROUND(NL("SUM","G/L Entry","Amount","G/L Account No.",$P191,"Fund No.",$F$22,"Global Dimension 2 Code",$F$12,"Global Dimension 1 Code","@@"&amp;$I191,"Company=",$D$6,"Transaction Type",AH$4,"Posting Date",AH$3),0)))</t>
  </si>
  <si>
    <t>=IF(ISERROR(AH191+AJ191),0,(AH191+AJ191))</t>
  </si>
  <si>
    <t>=IF($F$13="yes",0,IF($P191="",0,ROUND(NL("SUM","G/L Budget Entry","Amount","Fund No.",$F$22,"G/L Account No.",$P191,"Company=",$D$6,"Global Dimension 1 Code","@@"&amp;$I191,"Global Dimension 2 Code",$F$12,"Date",$AN$3),0)))</t>
  </si>
  <si>
    <t>=IF($F$13="YES",AF191,AN191)</t>
  </si>
  <si>
    <t>=ABS(SUMIF(V191:AP191,"&gt;0")-SUMIF(V191:AP191,"&lt;0"))</t>
  </si>
  <si>
    <t>=IF(AQ192=0,"Hide","Show")</t>
  </si>
  <si>
    <t>=I191</t>
  </si>
  <si>
    <t>="549044"</t>
  </si>
  <si>
    <t>=IF(I192="","500000 51800",K192&amp;" "&amp;I192)</t>
  </si>
  <si>
    <t>=K192</t>
  </si>
  <si>
    <t>=IF($P192="","",NL("Rows","G/L Account","Name","No.",$P192,"Company=",$D$6))</t>
  </si>
  <si>
    <t>=IF($P192="",0,ROUND(NL("SUM","G/L Entry","Amount","G/L Account No.",$P192,"Fund No.",$F$22,"Global Dimension 2 Code",$F$12,"Global Dimension 1 Code","@@"&amp;$I192,"Company=",$D$6,"Transaction Type",T$4,"Posting Date",T$3),0))</t>
  </si>
  <si>
    <t>=IF(OR(V$1="hide",$P192=""),0,ROUND(NL("SUM","G/L Entry","Amount","G/L Account No.",$P192,"Fund No.",$F$22,"Global Dimension 2 Code",$F$12,"Global Dimension 1 Code","@@"&amp;$I192,"Company=",$D$6,"Transaction Type",V$4,"Posting Date",V$3),0))</t>
  </si>
  <si>
    <t>=IF(OR(X$1="hide",$P192=""),0,ROUND(NL("SUM","G/L Entry","Amount","G/L Account No.",$P192,"Fund No.",$F$22,"Global Dimension 2 Code",$F$12,"Global Dimension 1 Code","@@"&amp;$I192,"Company=",$D$6,"Transaction Type",X$4,"Posting Date",X$3),0))</t>
  </si>
  <si>
    <t>=IF(OR(Z$1="hide",$P192=""),0,ROUND(NL("SUM","G/L Entry","Amount","G/L Account No.",$P192,"Fund No.",$F$22,"Global Dimension 2 Code",$F$12,"Global Dimension 1 Code","@@"&amp;$I192,"Company=",$D$6,"Transaction Type",Z$4,"Posting Date",Z$3),0))</t>
  </si>
  <si>
    <t>=IF(OR(AB$1="hide",$P192=""),0,ROUND(NL("SUM","G/L Entry","Amount","G/L Account No.",$P192,"Fund No.",$F$22,"Global Dimension 2 Code",$F$12,"Global Dimension 1 Code","@@"&amp;$I192,"Company=",$D$6,"Transaction Type",AB$4,"Posting Date",AB$3),0))</t>
  </si>
  <si>
    <t>=IF(OR(AD$1="hide",$P192=""),0,ROUND(NL("SUM","G/L Entry","Amount","G/L Account No.",$P192,"Fund No.",$F$22,"Global Dimension 2 Code",$F$12,"Global Dimension 1 Code","@@"&amp;$I192,"Company=",$D$6,"Transaction Type",AD$4,"Posting Date",AD$3),0))</t>
  </si>
  <si>
    <t>=IF(OR(AF$1="hide",$P192=""),0,ROUND(NL("SUM","G/L Entry","Amount","G/L Account No.",$P192,"Fund No.",$F$22,"Global Dimension 2 Code",$F$12,"Global Dimension 1 Code","@@"&amp;$I192,"Company=",$D$6,"Transaction Type",AF$4,"Posting Date",AF$3),0))</t>
  </si>
  <si>
    <t>=IF(OR(AH$1="hide",$P192=""),0,(ROUND(NL("SUM","G/L Entry","Amount","G/L Account No.",$P192,"Fund No.",$F$22,"Global Dimension 2 Code",$F$12,"Global Dimension 1 Code","@@"&amp;$I192,"Company=",$D$6,"Transaction Type",AH$4,"Posting Date",AH$3),0)))</t>
  </si>
  <si>
    <t>=IF(ISERROR(AH192+AJ192),0,(AH192+AJ192))</t>
  </si>
  <si>
    <t>=IF($F$13="yes",0,IF($P192="",0,ROUND(NL("SUM","G/L Budget Entry","Amount","Fund No.",$F$22,"G/L Account No.",$P192,"Company=",$D$6,"Global Dimension 1 Code","@@"&amp;$I192,"Global Dimension 2 Code",$F$12,"Date",$AN$3),0)))</t>
  </si>
  <si>
    <t>=IF($F$13="YES",AF192,AN192)</t>
  </si>
  <si>
    <t>=ABS(SUMIF(V192:AP192,"&gt;0")-SUMIF(V192:AP192,"&lt;0"))</t>
  </si>
  <si>
    <t>=IF(AQ193=0,"Hide","Show")</t>
  </si>
  <si>
    <t>=I192</t>
  </si>
  <si>
    <t>="549066"</t>
  </si>
  <si>
    <t>=IF(I193="","500000 51800",K193&amp;" "&amp;I193)</t>
  </si>
  <si>
    <t>=K193</t>
  </si>
  <si>
    <t>=IF($P193="","",NL("Rows","G/L Account","Name","No.",$P193,"Company=",$D$6))</t>
  </si>
  <si>
    <t>=IF($P193="",0,ROUND(NL("SUM","G/L Entry","Amount","G/L Account No.",$P193,"Fund No.",$F$22,"Global Dimension 2 Code",$F$12,"Global Dimension 1 Code","@@"&amp;$I193,"Company=",$D$6,"Transaction Type",T$4,"Posting Date",T$3),0))</t>
  </si>
  <si>
    <t>=IF(OR(V$1="hide",$P193=""),0,ROUND(NL("SUM","G/L Entry","Amount","G/L Account No.",$P193,"Fund No.",$F$22,"Global Dimension 2 Code",$F$12,"Global Dimension 1 Code","@@"&amp;$I193,"Company=",$D$6,"Transaction Type",V$4,"Posting Date",V$3),0))</t>
  </si>
  <si>
    <t>=IF(OR(X$1="hide",$P193=""),0,ROUND(NL("SUM","G/L Entry","Amount","G/L Account No.",$P193,"Fund No.",$F$22,"Global Dimension 2 Code",$F$12,"Global Dimension 1 Code","@@"&amp;$I193,"Company=",$D$6,"Transaction Type",X$4,"Posting Date",X$3),0))</t>
  </si>
  <si>
    <t>=IF(OR(Z$1="hide",$P193=""),0,ROUND(NL("SUM","G/L Entry","Amount","G/L Account No.",$P193,"Fund No.",$F$22,"Global Dimension 2 Code",$F$12,"Global Dimension 1 Code","@@"&amp;$I193,"Company=",$D$6,"Transaction Type",Z$4,"Posting Date",Z$3),0))</t>
  </si>
  <si>
    <t>=IF(OR(AB$1="hide",$P193=""),0,ROUND(NL("SUM","G/L Entry","Amount","G/L Account No.",$P193,"Fund No.",$F$22,"Global Dimension 2 Code",$F$12,"Global Dimension 1 Code","@@"&amp;$I193,"Company=",$D$6,"Transaction Type",AB$4,"Posting Date",AB$3),0))</t>
  </si>
  <si>
    <t>=IF(OR(AD$1="hide",$P193=""),0,ROUND(NL("SUM","G/L Entry","Amount","G/L Account No.",$P193,"Fund No.",$F$22,"Global Dimension 2 Code",$F$12,"Global Dimension 1 Code","@@"&amp;$I193,"Company=",$D$6,"Transaction Type",AD$4,"Posting Date",AD$3),0))</t>
  </si>
  <si>
    <t>=IF(OR(AF$1="hide",$P193=""),0,ROUND(NL("SUM","G/L Entry","Amount","G/L Account No.",$P193,"Fund No.",$F$22,"Global Dimension 2 Code",$F$12,"Global Dimension 1 Code","@@"&amp;$I193,"Company=",$D$6,"Transaction Type",AF$4,"Posting Date",AF$3),0))</t>
  </si>
  <si>
    <t>=IF(OR(AH$1="hide",$P193=""),0,(ROUND(NL("SUM","G/L Entry","Amount","G/L Account No.",$P193,"Fund No.",$F$22,"Global Dimension 2 Code",$F$12,"Global Dimension 1 Code","@@"&amp;$I193,"Company=",$D$6,"Transaction Type",AH$4,"Posting Date",AH$3),0)))</t>
  </si>
  <si>
    <t>=IF(ISERROR(AH193+AJ193),0,(AH193+AJ193))</t>
  </si>
  <si>
    <t>=IF($F$13="yes",0,IF($P193="",0,ROUND(NL("SUM","G/L Budget Entry","Amount","Fund No.",$F$22,"G/L Account No.",$P193,"Company=",$D$6,"Global Dimension 1 Code","@@"&amp;$I193,"Global Dimension 2 Code",$F$12,"Date",$AN$3),0)))</t>
  </si>
  <si>
    <t>=IF($F$13="YES",AF193,AN193)</t>
  </si>
  <si>
    <t>=ABS(SUMIF(V193:AP193,"&gt;0")-SUMIF(V193:AP193,"&lt;0"))</t>
  </si>
  <si>
    <t>=IF(AQ194=0,"Hide","Show")</t>
  </si>
  <si>
    <t>=I193</t>
  </si>
  <si>
    <t>="549093"</t>
  </si>
  <si>
    <t>=IF(I194="","500000 51800",K194&amp;" "&amp;I194)</t>
  </si>
  <si>
    <t>=K194</t>
  </si>
  <si>
    <t>=IF($P194="","",NL("Rows","G/L Account","Name","No.",$P194,"Company=",$D$6))</t>
  </si>
  <si>
    <t>=IF($P194="",0,ROUND(NL("SUM","G/L Entry","Amount","G/L Account No.",$P194,"Fund No.",$F$22,"Global Dimension 2 Code",$F$12,"Global Dimension 1 Code","@@"&amp;$I194,"Company=",$D$6,"Transaction Type",T$4,"Posting Date",T$3),0))</t>
  </si>
  <si>
    <t>=IF(OR(V$1="hide",$P194=""),0,ROUND(NL("SUM","G/L Entry","Amount","G/L Account No.",$P194,"Fund No.",$F$22,"Global Dimension 2 Code",$F$12,"Global Dimension 1 Code","@@"&amp;$I194,"Company=",$D$6,"Transaction Type",V$4,"Posting Date",V$3),0))</t>
  </si>
  <si>
    <t>=IF(OR(X$1="hide",$P194=""),0,ROUND(NL("SUM","G/L Entry","Amount","G/L Account No.",$P194,"Fund No.",$F$22,"Global Dimension 2 Code",$F$12,"Global Dimension 1 Code","@@"&amp;$I194,"Company=",$D$6,"Transaction Type",X$4,"Posting Date",X$3),0))</t>
  </si>
  <si>
    <t>=IF(OR(Z$1="hide",$P194=""),0,ROUND(NL("SUM","G/L Entry","Amount","G/L Account No.",$P194,"Fund No.",$F$22,"Global Dimension 2 Code",$F$12,"Global Dimension 1 Code","@@"&amp;$I194,"Company=",$D$6,"Transaction Type",Z$4,"Posting Date",Z$3),0))</t>
  </si>
  <si>
    <t>=IF(OR(AB$1="hide",$P194=""),0,ROUND(NL("SUM","G/L Entry","Amount","G/L Account No.",$P194,"Fund No.",$F$22,"Global Dimension 2 Code",$F$12,"Global Dimension 1 Code","@@"&amp;$I194,"Company=",$D$6,"Transaction Type",AB$4,"Posting Date",AB$3),0))</t>
  </si>
  <si>
    <t>=IF(OR(AD$1="hide",$P194=""),0,ROUND(NL("SUM","G/L Entry","Amount","G/L Account No.",$P194,"Fund No.",$F$22,"Global Dimension 2 Code",$F$12,"Global Dimension 1 Code","@@"&amp;$I194,"Company=",$D$6,"Transaction Type",AD$4,"Posting Date",AD$3),0))</t>
  </si>
  <si>
    <t>=IF(OR(AF$1="hide",$P194=""),0,ROUND(NL("SUM","G/L Entry","Amount","G/L Account No.",$P194,"Fund No.",$F$22,"Global Dimension 2 Code",$F$12,"Global Dimension 1 Code","@@"&amp;$I194,"Company=",$D$6,"Transaction Type",AF$4,"Posting Date",AF$3),0))</t>
  </si>
  <si>
    <t>=IF(OR(AH$1="hide",$P194=""),0,(ROUND(NL("SUM","G/L Entry","Amount","G/L Account No.",$P194,"Fund No.",$F$22,"Global Dimension 2 Code",$F$12,"Global Dimension 1 Code","@@"&amp;$I194,"Company=",$D$6,"Transaction Type",AH$4,"Posting Date",AH$3),0)))</t>
  </si>
  <si>
    <t>=IF(ISERROR(AH194+AJ194),0,(AH194+AJ194))</t>
  </si>
  <si>
    <t>=IF($F$13="yes",0,IF($P194="",0,ROUND(NL("SUM","G/L Budget Entry","Amount","Fund No.",$F$22,"G/L Account No.",$P194,"Company=",$D$6,"Global Dimension 1 Code","@@"&amp;$I194,"Global Dimension 2 Code",$F$12,"Date",$AN$3),0)))</t>
  </si>
  <si>
    <t>=IF($F$13="YES",AF194,AN194)</t>
  </si>
  <si>
    <t>=ABS(SUMIF(V194:AP194,"&gt;0")-SUMIF(V194:AP194,"&lt;0"))</t>
  </si>
  <si>
    <t>=IF(AQ195=0,"Hide","Show")</t>
  </si>
  <si>
    <t>=I194</t>
  </si>
  <si>
    <t>="549149"</t>
  </si>
  <si>
    <t>=IF(I195="","500000 51800",K195&amp;" "&amp;I195)</t>
  </si>
  <si>
    <t>=K195</t>
  </si>
  <si>
    <t>=IF($P195="","",NL("Rows","G/L Account","Name","No.",$P195,"Company=",$D$6))</t>
  </si>
  <si>
    <t>=IF($P195="",0,ROUND(NL("SUM","G/L Entry","Amount","G/L Account No.",$P195,"Fund No.",$F$22,"Global Dimension 2 Code",$F$12,"Global Dimension 1 Code","@@"&amp;$I195,"Company=",$D$6,"Transaction Type",T$4,"Posting Date",T$3),0))</t>
  </si>
  <si>
    <t>=IF(OR(V$1="hide",$P195=""),0,ROUND(NL("SUM","G/L Entry","Amount","G/L Account No.",$P195,"Fund No.",$F$22,"Global Dimension 2 Code",$F$12,"Global Dimension 1 Code","@@"&amp;$I195,"Company=",$D$6,"Transaction Type",V$4,"Posting Date",V$3),0))</t>
  </si>
  <si>
    <t>=IF(OR(X$1="hide",$P195=""),0,ROUND(NL("SUM","G/L Entry","Amount","G/L Account No.",$P195,"Fund No.",$F$22,"Global Dimension 2 Code",$F$12,"Global Dimension 1 Code","@@"&amp;$I195,"Company=",$D$6,"Transaction Type",X$4,"Posting Date",X$3),0))</t>
  </si>
  <si>
    <t>=IF(OR(Z$1="hide",$P195=""),0,ROUND(NL("SUM","G/L Entry","Amount","G/L Account No.",$P195,"Fund No.",$F$22,"Global Dimension 2 Code",$F$12,"Global Dimension 1 Code","@@"&amp;$I195,"Company=",$D$6,"Transaction Type",Z$4,"Posting Date",Z$3),0))</t>
  </si>
  <si>
    <t>=IF(OR(AB$1="hide",$P195=""),0,ROUND(NL("SUM","G/L Entry","Amount","G/L Account No.",$P195,"Fund No.",$F$22,"Global Dimension 2 Code",$F$12,"Global Dimension 1 Code","@@"&amp;$I195,"Company=",$D$6,"Transaction Type",AB$4,"Posting Date",AB$3),0))</t>
  </si>
  <si>
    <t>=IF(OR(AD$1="hide",$P195=""),0,ROUND(NL("SUM","G/L Entry","Amount","G/L Account No.",$P195,"Fund No.",$F$22,"Global Dimension 2 Code",$F$12,"Global Dimension 1 Code","@@"&amp;$I195,"Company=",$D$6,"Transaction Type",AD$4,"Posting Date",AD$3),0))</t>
  </si>
  <si>
    <t>=IF(OR(AF$1="hide",$P195=""),0,ROUND(NL("SUM","G/L Entry","Amount","G/L Account No.",$P195,"Fund No.",$F$22,"Global Dimension 2 Code",$F$12,"Global Dimension 1 Code","@@"&amp;$I195,"Company=",$D$6,"Transaction Type",AF$4,"Posting Date",AF$3),0))</t>
  </si>
  <si>
    <t>=IF(OR(AH$1="hide",$P195=""),0,(ROUND(NL("SUM","G/L Entry","Amount","G/L Account No.",$P195,"Fund No.",$F$22,"Global Dimension 2 Code",$F$12,"Global Dimension 1 Code","@@"&amp;$I195,"Company=",$D$6,"Transaction Type",AH$4,"Posting Date",AH$3),0)))</t>
  </si>
  <si>
    <t>=IF(ISERROR(AH195+AJ195),0,(AH195+AJ195))</t>
  </si>
  <si>
    <t>=IF($F$13="yes",0,IF($P195="",0,ROUND(NL("SUM","G/L Budget Entry","Amount","Fund No.",$F$22,"G/L Account No.",$P195,"Company=",$D$6,"Global Dimension 1 Code","@@"&amp;$I195,"Global Dimension 2 Code",$F$12,"Date",$AN$3),0)))</t>
  </si>
  <si>
    <t>=IF($F$13="YES",AF195,AN195)</t>
  </si>
  <si>
    <t>=ABS(SUMIF(V195:AP195,"&gt;0")-SUMIF(V195:AP195,"&lt;0"))</t>
  </si>
  <si>
    <t>=IF(AQ196=0,"Hide","Show")</t>
  </si>
  <si>
    <t>=I195</t>
  </si>
  <si>
    <t>=IF(I196="","500000 51800",K196&amp;" "&amp;I196)</t>
  </si>
  <si>
    <t>=K196</t>
  </si>
  <si>
    <t>=IF($P196="","",NL("Rows","G/L Account","Name","No.",$P196,"Company=",$D$6))</t>
  </si>
  <si>
    <t>=IF($P196="",0,ROUND(NL("SUM","G/L Entry","Amount","G/L Account No.",$P196,"Fund No.",$F$22,"Global Dimension 2 Code",$F$12,"Global Dimension 1 Code","@@"&amp;$I196,"Company=",$D$6,"Transaction Type",T$4,"Posting Date",T$3),0))</t>
  </si>
  <si>
    <t>=IF(OR(V$1="hide",$P196=""),0,ROUND(NL("SUM","G/L Entry","Amount","G/L Account No.",$P196,"Fund No.",$F$22,"Global Dimension 2 Code",$F$12,"Global Dimension 1 Code","@@"&amp;$I196,"Company=",$D$6,"Transaction Type",V$4,"Posting Date",V$3),0))</t>
  </si>
  <si>
    <t>=IF(OR(X$1="hide",$P196=""),0,ROUND(NL("SUM","G/L Entry","Amount","G/L Account No.",$P196,"Fund No.",$F$22,"Global Dimension 2 Code",$F$12,"Global Dimension 1 Code","@@"&amp;$I196,"Company=",$D$6,"Transaction Type",X$4,"Posting Date",X$3),0))</t>
  </si>
  <si>
    <t>=IF(OR(Z$1="hide",$P196=""),0,ROUND(NL("SUM","G/L Entry","Amount","G/L Account No.",$P196,"Fund No.",$F$22,"Global Dimension 2 Code",$F$12,"Global Dimension 1 Code","@@"&amp;$I196,"Company=",$D$6,"Transaction Type",Z$4,"Posting Date",Z$3),0))</t>
  </si>
  <si>
    <t>=IF(OR(AB$1="hide",$P196=""),0,ROUND(NL("SUM","G/L Entry","Amount","G/L Account No.",$P196,"Fund No.",$F$22,"Global Dimension 2 Code",$F$12,"Global Dimension 1 Code","@@"&amp;$I196,"Company=",$D$6,"Transaction Type",AB$4,"Posting Date",AB$3),0))</t>
  </si>
  <si>
    <t>=IF(OR(AD$1="hide",$P196=""),0,ROUND(NL("SUM","G/L Entry","Amount","G/L Account No.",$P196,"Fund No.",$F$22,"Global Dimension 2 Code",$F$12,"Global Dimension 1 Code","@@"&amp;$I196,"Company=",$D$6,"Transaction Type",AD$4,"Posting Date",AD$3),0))</t>
  </si>
  <si>
    <t>=IF(OR(AF$1="hide",$P196=""),0,ROUND(NL("SUM","G/L Entry","Amount","G/L Account No.",$P196,"Fund No.",$F$22,"Global Dimension 2 Code",$F$12,"Global Dimension 1 Code","@@"&amp;$I196,"Company=",$D$6,"Transaction Type",AF$4,"Posting Date",AF$3),0))</t>
  </si>
  <si>
    <t>=IF(OR(AH$1="hide",$P196=""),0,(ROUND(NL("SUM","G/L Entry","Amount","G/L Account No.",$P196,"Fund No.",$F$22,"Global Dimension 2 Code",$F$12,"Global Dimension 1 Code","@@"&amp;$I196,"Company=",$D$6,"Transaction Type",AH$4,"Posting Date",AH$3),0)))</t>
  </si>
  <si>
    <t>=IF(ISERROR(AH196+AJ196),0,(AH196+AJ196))</t>
  </si>
  <si>
    <t>=IF($F$13="yes",0,IF($P196="",0,ROUND(NL("SUM","G/L Budget Entry","Amount","Fund No.",$F$22,"G/L Account No.",$P196,"Company=",$D$6,"Global Dimension 1 Code","@@"&amp;$I196,"Global Dimension 2 Code",$F$12,"Date",$AN$3),0)))</t>
  </si>
  <si>
    <t>=IF($F$13="YES",AF196,AN196)</t>
  </si>
  <si>
    <t>=ABS(SUMIF(V196:AP196,"&gt;0")-SUMIF(V196:AP196,"&lt;0"))</t>
  </si>
  <si>
    <t>=IF(AQ197=0,"Hide","Show")</t>
  </si>
  <si>
    <t>=I196</t>
  </si>
  <si>
    <t>="549911"</t>
  </si>
  <si>
    <t>=IF(I197="","500000 51800",K197&amp;" "&amp;I197)</t>
  </si>
  <si>
    <t>=K197</t>
  </si>
  <si>
    <t>=IF($P197="","",NL("Rows","G/L Account","Name","No.",$P197,"Company=",$D$6))</t>
  </si>
  <si>
    <t>=IF($P197="",0,ROUND(NL("SUM","G/L Entry","Amount","G/L Account No.",$P197,"Fund No.",$F$22,"Global Dimension 2 Code",$F$12,"Global Dimension 1 Code","@@"&amp;$I197,"Company=",$D$6,"Transaction Type",T$4,"Posting Date",T$3),0))</t>
  </si>
  <si>
    <t>=IF(OR(V$1="hide",$P197=""),0,ROUND(NL("SUM","G/L Entry","Amount","G/L Account No.",$P197,"Fund No.",$F$22,"Global Dimension 2 Code",$F$12,"Global Dimension 1 Code","@@"&amp;$I197,"Company=",$D$6,"Transaction Type",V$4,"Posting Date",V$3),0))</t>
  </si>
  <si>
    <t>=IF(OR(X$1="hide",$P197=""),0,ROUND(NL("SUM","G/L Entry","Amount","G/L Account No.",$P197,"Fund No.",$F$22,"Global Dimension 2 Code",$F$12,"Global Dimension 1 Code","@@"&amp;$I197,"Company=",$D$6,"Transaction Type",X$4,"Posting Date",X$3),0))</t>
  </si>
  <si>
    <t>=IF(OR(Z$1="hide",$P197=""),0,ROUND(NL("SUM","G/L Entry","Amount","G/L Account No.",$P197,"Fund No.",$F$22,"Global Dimension 2 Code",$F$12,"Global Dimension 1 Code","@@"&amp;$I197,"Company=",$D$6,"Transaction Type",Z$4,"Posting Date",Z$3),0))</t>
  </si>
  <si>
    <t>=IF(OR(AB$1="hide",$P197=""),0,ROUND(NL("SUM","G/L Entry","Amount","G/L Account No.",$P197,"Fund No.",$F$22,"Global Dimension 2 Code",$F$12,"Global Dimension 1 Code","@@"&amp;$I197,"Company=",$D$6,"Transaction Type",AB$4,"Posting Date",AB$3),0))</t>
  </si>
  <si>
    <t>=IF(OR(AD$1="hide",$P197=""),0,ROUND(NL("SUM","G/L Entry","Amount","G/L Account No.",$P197,"Fund No.",$F$22,"Global Dimension 2 Code",$F$12,"Global Dimension 1 Code","@@"&amp;$I197,"Company=",$D$6,"Transaction Type",AD$4,"Posting Date",AD$3),0))</t>
  </si>
  <si>
    <t>=IF(OR(AF$1="hide",$P197=""),0,ROUND(NL("SUM","G/L Entry","Amount","G/L Account No.",$P197,"Fund No.",$F$22,"Global Dimension 2 Code",$F$12,"Global Dimension 1 Code","@@"&amp;$I197,"Company=",$D$6,"Transaction Type",AF$4,"Posting Date",AF$3),0))</t>
  </si>
  <si>
    <t>=IF(OR(AH$1="hide",$P197=""),0,(ROUND(NL("SUM","G/L Entry","Amount","G/L Account No.",$P197,"Fund No.",$F$22,"Global Dimension 2 Code",$F$12,"Global Dimension 1 Code","@@"&amp;$I197,"Company=",$D$6,"Transaction Type",AH$4,"Posting Date",AH$3),0)))</t>
  </si>
  <si>
    <t>=IF(ISERROR(AH197+AJ197),0,(AH197+AJ197))</t>
  </si>
  <si>
    <t>=IF($F$13="yes",0,IF($P197="",0,ROUND(NL("SUM","G/L Budget Entry","Amount","Fund No.",$F$22,"G/L Account No.",$P197,"Company=",$D$6,"Global Dimension 1 Code","@@"&amp;$I197,"Global Dimension 2 Code",$F$12,"Date",$AN$3),0)))</t>
  </si>
  <si>
    <t>=IF($F$13="YES",AF197,AN197)</t>
  </si>
  <si>
    <t>=ABS(SUMIF(V197:AP197,"&gt;0")-SUMIF(V197:AP197,"&lt;0"))</t>
  </si>
  <si>
    <t>=IF(AQ198=0,"Hide","Show")</t>
  </si>
  <si>
    <t>=I197</t>
  </si>
  <si>
    <t>=IF(I198="","500000 51800",K198&amp;" "&amp;I198)</t>
  </si>
  <si>
    <t>=K198</t>
  </si>
  <si>
    <t>=IF($P198="","",NL("Rows","G/L Account","Name","No.",$P198,"Company=",$D$6))</t>
  </si>
  <si>
    <t>=IF($P198="",0,ROUND(NL("SUM","G/L Entry","Amount","G/L Account No.",$P198,"Fund No.",$F$22,"Global Dimension 2 Code",$F$12,"Global Dimension 1 Code","@@"&amp;$I198,"Company=",$D$6,"Transaction Type",T$4,"Posting Date",T$3),0))</t>
  </si>
  <si>
    <t>=IF(OR(V$1="hide",$P198=""),0,ROUND(NL("SUM","G/L Entry","Amount","G/L Account No.",$P198,"Fund No.",$F$22,"Global Dimension 2 Code",$F$12,"Global Dimension 1 Code","@@"&amp;$I198,"Company=",$D$6,"Transaction Type",V$4,"Posting Date",V$3),0))</t>
  </si>
  <si>
    <t>=IF(OR(X$1="hide",$P198=""),0,ROUND(NL("SUM","G/L Entry","Amount","G/L Account No.",$P198,"Fund No.",$F$22,"Global Dimension 2 Code",$F$12,"Global Dimension 1 Code","@@"&amp;$I198,"Company=",$D$6,"Transaction Type",X$4,"Posting Date",X$3),0))</t>
  </si>
  <si>
    <t>=IF(OR(Z$1="hide",$P198=""),0,ROUND(NL("SUM","G/L Entry","Amount","G/L Account No.",$P198,"Fund No.",$F$22,"Global Dimension 2 Code",$F$12,"Global Dimension 1 Code","@@"&amp;$I198,"Company=",$D$6,"Transaction Type",Z$4,"Posting Date",Z$3),0))</t>
  </si>
  <si>
    <t>=IF(OR(AB$1="hide",$P198=""),0,ROUND(NL("SUM","G/L Entry","Amount","G/L Account No.",$P198,"Fund No.",$F$22,"Global Dimension 2 Code",$F$12,"Global Dimension 1 Code","@@"&amp;$I198,"Company=",$D$6,"Transaction Type",AB$4,"Posting Date",AB$3),0))</t>
  </si>
  <si>
    <t>=IF(OR(AD$1="hide",$P198=""),0,ROUND(NL("SUM","G/L Entry","Amount","G/L Account No.",$P198,"Fund No.",$F$22,"Global Dimension 2 Code",$F$12,"Global Dimension 1 Code","@@"&amp;$I198,"Company=",$D$6,"Transaction Type",AD$4,"Posting Date",AD$3),0))</t>
  </si>
  <si>
    <t>=IF(OR(AF$1="hide",$P198=""),0,ROUND(NL("SUM","G/L Entry","Amount","G/L Account No.",$P198,"Fund No.",$F$22,"Global Dimension 2 Code",$F$12,"Global Dimension 1 Code","@@"&amp;$I198,"Company=",$D$6,"Transaction Type",AF$4,"Posting Date",AF$3),0))</t>
  </si>
  <si>
    <t>=IF(OR(AH$1="hide",$P198=""),0,(ROUND(NL("SUM","G/L Entry","Amount","G/L Account No.",$P198,"Fund No.",$F$22,"Global Dimension 2 Code",$F$12,"Global Dimension 1 Code","@@"&amp;$I198,"Company=",$D$6,"Transaction Type",AH$4,"Posting Date",AH$3),0)))</t>
  </si>
  <si>
    <t>=IF(ISERROR(AH198+AJ198),0,(AH198+AJ198))</t>
  </si>
  <si>
    <t>=IF($F$13="yes",0,IF($P198="",0,ROUND(NL("SUM","G/L Budget Entry","Amount","Fund No.",$F$22,"G/L Account No.",$P198,"Company=",$D$6,"Global Dimension 1 Code","@@"&amp;$I198,"Global Dimension 2 Code",$F$12,"Date",$AN$3),0)))</t>
  </si>
  <si>
    <t>=IF($F$13="YES",AF198,AN198)</t>
  </si>
  <si>
    <t>=ABS(SUMIF(V198:AP198,"&gt;0")-SUMIF(V198:AP198,"&lt;0"))</t>
  </si>
  <si>
    <t>=IF(AQ199=0,"Hide","Show")</t>
  </si>
  <si>
    <t>=I198</t>
  </si>
  <si>
    <t>="552030"</t>
  </si>
  <si>
    <t>=IF(I199="","500000 51800",K199&amp;" "&amp;I199)</t>
  </si>
  <si>
    <t>=K199</t>
  </si>
  <si>
    <t>=IF($P199="","",NL("Rows","G/L Account","Name","No.",$P199,"Company=",$D$6))</t>
  </si>
  <si>
    <t>=IF($P199="",0,ROUND(NL("SUM","G/L Entry","Amount","G/L Account No.",$P199,"Fund No.",$F$22,"Global Dimension 2 Code",$F$12,"Global Dimension 1 Code","@@"&amp;$I199,"Company=",$D$6,"Transaction Type",T$4,"Posting Date",T$3),0))</t>
  </si>
  <si>
    <t>=IF(OR(V$1="hide",$P199=""),0,ROUND(NL("SUM","G/L Entry","Amount","G/L Account No.",$P199,"Fund No.",$F$22,"Global Dimension 2 Code",$F$12,"Global Dimension 1 Code","@@"&amp;$I199,"Company=",$D$6,"Transaction Type",V$4,"Posting Date",V$3),0))</t>
  </si>
  <si>
    <t>=IF(OR(X$1="hide",$P199=""),0,ROUND(NL("SUM","G/L Entry","Amount","G/L Account No.",$P199,"Fund No.",$F$22,"Global Dimension 2 Code",$F$12,"Global Dimension 1 Code","@@"&amp;$I199,"Company=",$D$6,"Transaction Type",X$4,"Posting Date",X$3),0))</t>
  </si>
  <si>
    <t>=IF(OR(Z$1="hide",$P199=""),0,ROUND(NL("SUM","G/L Entry","Amount","G/L Account No.",$P199,"Fund No.",$F$22,"Global Dimension 2 Code",$F$12,"Global Dimension 1 Code","@@"&amp;$I199,"Company=",$D$6,"Transaction Type",Z$4,"Posting Date",Z$3),0))</t>
  </si>
  <si>
    <t>=IF(OR(AB$1="hide",$P199=""),0,ROUND(NL("SUM","G/L Entry","Amount","G/L Account No.",$P199,"Fund No.",$F$22,"Global Dimension 2 Code",$F$12,"Global Dimension 1 Code","@@"&amp;$I199,"Company=",$D$6,"Transaction Type",AB$4,"Posting Date",AB$3),0))</t>
  </si>
  <si>
    <t>=IF(OR(AD$1="hide",$P199=""),0,ROUND(NL("SUM","G/L Entry","Amount","G/L Account No.",$P199,"Fund No.",$F$22,"Global Dimension 2 Code",$F$12,"Global Dimension 1 Code","@@"&amp;$I199,"Company=",$D$6,"Transaction Type",AD$4,"Posting Date",AD$3),0))</t>
  </si>
  <si>
    <t>=IF(OR(AF$1="hide",$P199=""),0,ROUND(NL("SUM","G/L Entry","Amount","G/L Account No.",$P199,"Fund No.",$F$22,"Global Dimension 2 Code",$F$12,"Global Dimension 1 Code","@@"&amp;$I199,"Company=",$D$6,"Transaction Type",AF$4,"Posting Date",AF$3),0))</t>
  </si>
  <si>
    <t>=IF(OR(AH$1="hide",$P199=""),0,(ROUND(NL("SUM","G/L Entry","Amount","G/L Account No.",$P199,"Fund No.",$F$22,"Global Dimension 2 Code",$F$12,"Global Dimension 1 Code","@@"&amp;$I199,"Company=",$D$6,"Transaction Type",AH$4,"Posting Date",AH$3),0)))</t>
  </si>
  <si>
    <t>=IF(ISERROR(AH199+AJ199),0,(AH199+AJ199))</t>
  </si>
  <si>
    <t>=IF($F$13="yes",0,IF($P199="",0,ROUND(NL("SUM","G/L Budget Entry","Amount","Fund No.",$F$22,"G/L Account No.",$P199,"Company=",$D$6,"Global Dimension 1 Code","@@"&amp;$I199,"Global Dimension 2 Code",$F$12,"Date",$AN$3),0)))</t>
  </si>
  <si>
    <t>=IF($F$13="YES",AF199,AN199)</t>
  </si>
  <si>
    <t>=ABS(SUMIF(V199:AP199,"&gt;0")-SUMIF(V199:AP199,"&lt;0"))</t>
  </si>
  <si>
    <t>=IF(AQ200=0,"Hide","Show")</t>
  </si>
  <si>
    <t>=I199</t>
  </si>
  <si>
    <t>=IF(I200="","500000 51800",K200&amp;" "&amp;I200)</t>
  </si>
  <si>
    <t>=K200</t>
  </si>
  <si>
    <t>=IF($P200="","",NL("Rows","G/L Account","Name","No.",$P200,"Company=",$D$6))</t>
  </si>
  <si>
    <t>=IF($P200="",0,ROUND(NL("SUM","G/L Entry","Amount","G/L Account No.",$P200,"Fund No.",$F$22,"Global Dimension 2 Code",$F$12,"Global Dimension 1 Code","@@"&amp;$I200,"Company=",$D$6,"Transaction Type",T$4,"Posting Date",T$3),0))</t>
  </si>
  <si>
    <t>=IF(OR(V$1="hide",$P200=""),0,ROUND(NL("SUM","G/L Entry","Amount","G/L Account No.",$P200,"Fund No.",$F$22,"Global Dimension 2 Code",$F$12,"Global Dimension 1 Code","@@"&amp;$I200,"Company=",$D$6,"Transaction Type",V$4,"Posting Date",V$3),0))</t>
  </si>
  <si>
    <t>=IF(OR(X$1="hide",$P200=""),0,ROUND(NL("SUM","G/L Entry","Amount","G/L Account No.",$P200,"Fund No.",$F$22,"Global Dimension 2 Code",$F$12,"Global Dimension 1 Code","@@"&amp;$I200,"Company=",$D$6,"Transaction Type",X$4,"Posting Date",X$3),0))</t>
  </si>
  <si>
    <t>=IF(OR(Z$1="hide",$P200=""),0,ROUND(NL("SUM","G/L Entry","Amount","G/L Account No.",$P200,"Fund No.",$F$22,"Global Dimension 2 Code",$F$12,"Global Dimension 1 Code","@@"&amp;$I200,"Company=",$D$6,"Transaction Type",Z$4,"Posting Date",Z$3),0))</t>
  </si>
  <si>
    <t>=IF(OR(AB$1="hide",$P200=""),0,ROUND(NL("SUM","G/L Entry","Amount","G/L Account No.",$P200,"Fund No.",$F$22,"Global Dimension 2 Code",$F$12,"Global Dimension 1 Code","@@"&amp;$I200,"Company=",$D$6,"Transaction Type",AB$4,"Posting Date",AB$3),0))</t>
  </si>
  <si>
    <t>=IF(OR(AD$1="hide",$P200=""),0,ROUND(NL("SUM","G/L Entry","Amount","G/L Account No.",$P200,"Fund No.",$F$22,"Global Dimension 2 Code",$F$12,"Global Dimension 1 Code","@@"&amp;$I200,"Company=",$D$6,"Transaction Type",AD$4,"Posting Date",AD$3),0))</t>
  </si>
  <si>
    <t>=IF(OR(AF$1="hide",$P200=""),0,ROUND(NL("SUM","G/L Entry","Amount","G/L Account No.",$P200,"Fund No.",$F$22,"Global Dimension 2 Code",$F$12,"Global Dimension 1 Code","@@"&amp;$I200,"Company=",$D$6,"Transaction Type",AF$4,"Posting Date",AF$3),0))</t>
  </si>
  <si>
    <t>=IF(OR(AH$1="hide",$P200=""),0,(ROUND(NL("SUM","G/L Entry","Amount","G/L Account No.",$P200,"Fund No.",$F$22,"Global Dimension 2 Code",$F$12,"Global Dimension 1 Code","@@"&amp;$I200,"Company=",$D$6,"Transaction Type",AH$4,"Posting Date",AH$3),0)))</t>
  </si>
  <si>
    <t>=IF(ISERROR(AH200+AJ200),0,(AH200+AJ200))</t>
  </si>
  <si>
    <t>=IF($F$13="yes",0,IF($P200="",0,ROUND(NL("SUM","G/L Budget Entry","Amount","Fund No.",$F$22,"G/L Account No.",$P200,"Company=",$D$6,"Global Dimension 1 Code","@@"&amp;$I200,"Global Dimension 2 Code",$F$12,"Date",$AN$3),0)))</t>
  </si>
  <si>
    <t>=IF($F$13="YES",AF200,AN200)</t>
  </si>
  <si>
    <t>=ABS(SUMIF(V200:AP200,"&gt;0")-SUMIF(V200:AP200,"&lt;0"))</t>
  </si>
  <si>
    <t>=IF(AQ201=0,"Hide","Show")</t>
  </si>
  <si>
    <t>=I200</t>
  </si>
  <si>
    <t>="564023"</t>
  </si>
  <si>
    <t>=IF(I201="","500000 51800",K201&amp;" "&amp;I201)</t>
  </si>
  <si>
    <t>=K201</t>
  </si>
  <si>
    <t>=IF($P201="","",NL("Rows","G/L Account","Name","No.",$P201,"Company=",$D$6))</t>
  </si>
  <si>
    <t>=IF($P201="",0,ROUND(NL("SUM","G/L Entry","Amount","G/L Account No.",$P201,"Fund No.",$F$22,"Global Dimension 2 Code",$F$12,"Global Dimension 1 Code","@@"&amp;$I201,"Company=",$D$6,"Transaction Type",T$4,"Posting Date",T$3),0))</t>
  </si>
  <si>
    <t>=IF(OR(V$1="hide",$P201=""),0,ROUND(NL("SUM","G/L Entry","Amount","G/L Account No.",$P201,"Fund No.",$F$22,"Global Dimension 2 Code",$F$12,"Global Dimension 1 Code","@@"&amp;$I201,"Company=",$D$6,"Transaction Type",V$4,"Posting Date",V$3),0))</t>
  </si>
  <si>
    <t>=IF(OR(X$1="hide",$P201=""),0,ROUND(NL("SUM","G/L Entry","Amount","G/L Account No.",$P201,"Fund No.",$F$22,"Global Dimension 2 Code",$F$12,"Global Dimension 1 Code","@@"&amp;$I201,"Company=",$D$6,"Transaction Type",X$4,"Posting Date",X$3),0))</t>
  </si>
  <si>
    <t>=IF(OR(Z$1="hide",$P201=""),0,ROUND(NL("SUM","G/L Entry","Amount","G/L Account No.",$P201,"Fund No.",$F$22,"Global Dimension 2 Code",$F$12,"Global Dimension 1 Code","@@"&amp;$I201,"Company=",$D$6,"Transaction Type",Z$4,"Posting Date",Z$3),0))</t>
  </si>
  <si>
    <t>=IF(OR(AB$1="hide",$P201=""),0,ROUND(NL("SUM","G/L Entry","Amount","G/L Account No.",$P201,"Fund No.",$F$22,"Global Dimension 2 Code",$F$12,"Global Dimension 1 Code","@@"&amp;$I201,"Company=",$D$6,"Transaction Type",AB$4,"Posting Date",AB$3),0))</t>
  </si>
  <si>
    <t>=IF(OR(AD$1="hide",$P201=""),0,ROUND(NL("SUM","G/L Entry","Amount","G/L Account No.",$P201,"Fund No.",$F$22,"Global Dimension 2 Code",$F$12,"Global Dimension 1 Code","@@"&amp;$I201,"Company=",$D$6,"Transaction Type",AD$4,"Posting Date",AD$3),0))</t>
  </si>
  <si>
    <t>=IF(OR(AF$1="hide",$P201=""),0,ROUND(NL("SUM","G/L Entry","Amount","G/L Account No.",$P201,"Fund No.",$F$22,"Global Dimension 2 Code",$F$12,"Global Dimension 1 Code","@@"&amp;$I201,"Company=",$D$6,"Transaction Type",AF$4,"Posting Date",AF$3),0))</t>
  </si>
  <si>
    <t>=IF(OR(AH$1="hide",$P201=""),0,(ROUND(NL("SUM","G/L Entry","Amount","G/L Account No.",$P201,"Fund No.",$F$22,"Global Dimension 2 Code",$F$12,"Global Dimension 1 Code","@@"&amp;$I201,"Company=",$D$6,"Transaction Type",AH$4,"Posting Date",AH$3),0)))</t>
  </si>
  <si>
    <t>=IF(ISERROR(AH201+AJ201),0,(AH201+AJ201))</t>
  </si>
  <si>
    <t>=IF($F$13="yes",0,IF($P201="",0,ROUND(NL("SUM","G/L Budget Entry","Amount","Fund No.",$F$22,"G/L Account No.",$P201,"Company=",$D$6,"Global Dimension 1 Code","@@"&amp;$I201,"Global Dimension 2 Code",$F$12,"Date",$AN$3),0)))</t>
  </si>
  <si>
    <t>=IF($F$13="YES",AF201,AN201)</t>
  </si>
  <si>
    <t>=ABS(SUMIF(V201:AP201,"&gt;0")-SUMIF(V201:AP201,"&lt;0"))</t>
  </si>
  <si>
    <t>=IF(AQ202=0,"Hide","Show")</t>
  </si>
  <si>
    <t>=I201</t>
  </si>
  <si>
    <t>="564041"</t>
  </si>
  <si>
    <t>=IF(I202="","500000 51800",K202&amp;" "&amp;I202)</t>
  </si>
  <si>
    <t>=K202</t>
  </si>
  <si>
    <t>=IF($P202="","",NL("Rows","G/L Account","Name","No.",$P202,"Company=",$D$6))</t>
  </si>
  <si>
    <t>=IF($P202="",0,ROUND(NL("SUM","G/L Entry","Amount","G/L Account No.",$P202,"Fund No.",$F$22,"Global Dimension 2 Code",$F$12,"Global Dimension 1 Code","@@"&amp;$I202,"Company=",$D$6,"Transaction Type",T$4,"Posting Date",T$3),0))</t>
  </si>
  <si>
    <t>=IF(OR(V$1="hide",$P202=""),0,ROUND(NL("SUM","G/L Entry","Amount","G/L Account No.",$P202,"Fund No.",$F$22,"Global Dimension 2 Code",$F$12,"Global Dimension 1 Code","@@"&amp;$I202,"Company=",$D$6,"Transaction Type",V$4,"Posting Date",V$3),0))</t>
  </si>
  <si>
    <t>=IF(OR(X$1="hide",$P202=""),0,ROUND(NL("SUM","G/L Entry","Amount","G/L Account No.",$P202,"Fund No.",$F$22,"Global Dimension 2 Code",$F$12,"Global Dimension 1 Code","@@"&amp;$I202,"Company=",$D$6,"Transaction Type",X$4,"Posting Date",X$3),0))</t>
  </si>
  <si>
    <t>=IF(OR(Z$1="hide",$P202=""),0,ROUND(NL("SUM","G/L Entry","Amount","G/L Account No.",$P202,"Fund No.",$F$22,"Global Dimension 2 Code",$F$12,"Global Dimension 1 Code","@@"&amp;$I202,"Company=",$D$6,"Transaction Type",Z$4,"Posting Date",Z$3),0))</t>
  </si>
  <si>
    <t>=IF(OR(AB$1="hide",$P202=""),0,ROUND(NL("SUM","G/L Entry","Amount","G/L Account No.",$P202,"Fund No.",$F$22,"Global Dimension 2 Code",$F$12,"Global Dimension 1 Code","@@"&amp;$I202,"Company=",$D$6,"Transaction Type",AB$4,"Posting Date",AB$3),0))</t>
  </si>
  <si>
    <t>=IF(OR(AD$1="hide",$P202=""),0,ROUND(NL("SUM","G/L Entry","Amount","G/L Account No.",$P202,"Fund No.",$F$22,"Global Dimension 2 Code",$F$12,"Global Dimension 1 Code","@@"&amp;$I202,"Company=",$D$6,"Transaction Type",AD$4,"Posting Date",AD$3),0))</t>
  </si>
  <si>
    <t>=IF(OR(AF$1="hide",$P202=""),0,ROUND(NL("SUM","G/L Entry","Amount","G/L Account No.",$P202,"Fund No.",$F$22,"Global Dimension 2 Code",$F$12,"Global Dimension 1 Code","@@"&amp;$I202,"Company=",$D$6,"Transaction Type",AF$4,"Posting Date",AF$3),0))</t>
  </si>
  <si>
    <t>=IF(OR(AH$1="hide",$P202=""),0,(ROUND(NL("SUM","G/L Entry","Amount","G/L Account No.",$P202,"Fund No.",$F$22,"Global Dimension 2 Code",$F$12,"Global Dimension 1 Code","@@"&amp;$I202,"Company=",$D$6,"Transaction Type",AH$4,"Posting Date",AH$3),0)))</t>
  </si>
  <si>
    <t>=IF(ISERROR(AH202+AJ202),0,(AH202+AJ202))</t>
  </si>
  <si>
    <t>=IF($F$13="yes",0,IF($P202="",0,ROUND(NL("SUM","G/L Budget Entry","Amount","Fund No.",$F$22,"G/L Account No.",$P202,"Company=",$D$6,"Global Dimension 1 Code","@@"&amp;$I202,"Global Dimension 2 Code",$F$12,"Date",$AN$3),0)))</t>
  </si>
  <si>
    <t>=IF($F$13="YES",AF202,AN202)</t>
  </si>
  <si>
    <t>=ABS(SUMIF(V202:AP202,"&gt;0")-SUMIF(V202:AP202,"&lt;0"))</t>
  </si>
  <si>
    <t>=IF(AQ203=0,"Hide","Show")</t>
  </si>
  <si>
    <t>=I202</t>
  </si>
  <si>
    <t>=IF(I203="","500000 51800",K203&amp;" "&amp;I203)</t>
  </si>
  <si>
    <t>=K203</t>
  </si>
  <si>
    <t>=IF($P203="","",NL("Rows","G/L Account","Name","No.",$P203,"Company=",$D$6))</t>
  </si>
  <si>
    <t>=IF($P203="",0,ROUND(NL("SUM","G/L Entry","Amount","G/L Account No.",$P203,"Fund No.",$F$22,"Global Dimension 2 Code",$F$12,"Global Dimension 1 Code","@@"&amp;$I203,"Company=",$D$6,"Transaction Type",T$4,"Posting Date",T$3),0))</t>
  </si>
  <si>
    <t>=IF(OR(V$1="hide",$P203=""),0,ROUND(NL("SUM","G/L Entry","Amount","G/L Account No.",$P203,"Fund No.",$F$22,"Global Dimension 2 Code",$F$12,"Global Dimension 1 Code","@@"&amp;$I203,"Company=",$D$6,"Transaction Type",V$4,"Posting Date",V$3),0))</t>
  </si>
  <si>
    <t>=IF(OR(X$1="hide",$P203=""),0,ROUND(NL("SUM","G/L Entry","Amount","G/L Account No.",$P203,"Fund No.",$F$22,"Global Dimension 2 Code",$F$12,"Global Dimension 1 Code","@@"&amp;$I203,"Company=",$D$6,"Transaction Type",X$4,"Posting Date",X$3),0))</t>
  </si>
  <si>
    <t>=IF(OR(Z$1="hide",$P203=""),0,ROUND(NL("SUM","G/L Entry","Amount","G/L Account No.",$P203,"Fund No.",$F$22,"Global Dimension 2 Code",$F$12,"Global Dimension 1 Code","@@"&amp;$I203,"Company=",$D$6,"Transaction Type",Z$4,"Posting Date",Z$3),0))</t>
  </si>
  <si>
    <t>=IF(OR(AB$1="hide",$P203=""),0,ROUND(NL("SUM","G/L Entry","Amount","G/L Account No.",$P203,"Fund No.",$F$22,"Global Dimension 2 Code",$F$12,"Global Dimension 1 Code","@@"&amp;$I203,"Company=",$D$6,"Transaction Type",AB$4,"Posting Date",AB$3),0))</t>
  </si>
  <si>
    <t>=IF(OR(AD$1="hide",$P203=""),0,ROUND(NL("SUM","G/L Entry","Amount","G/L Account No.",$P203,"Fund No.",$F$22,"Global Dimension 2 Code",$F$12,"Global Dimension 1 Code","@@"&amp;$I203,"Company=",$D$6,"Transaction Type",AD$4,"Posting Date",AD$3),0))</t>
  </si>
  <si>
    <t>=IF(OR(AF$1="hide",$P203=""),0,ROUND(NL("SUM","G/L Entry","Amount","G/L Account No.",$P203,"Fund No.",$F$22,"Global Dimension 2 Code",$F$12,"Global Dimension 1 Code","@@"&amp;$I203,"Company=",$D$6,"Transaction Type",AF$4,"Posting Date",AF$3),0))</t>
  </si>
  <si>
    <t>=IF(OR(AH$1="hide",$P203=""),0,(ROUND(NL("SUM","G/L Entry","Amount","G/L Account No.",$P203,"Fund No.",$F$22,"Global Dimension 2 Code",$F$12,"Global Dimension 1 Code","@@"&amp;$I203,"Company=",$D$6,"Transaction Type",AH$4,"Posting Date",AH$3),0)))</t>
  </si>
  <si>
    <t>=IF(ISERROR(AH203+AJ203),0,(AH203+AJ203))</t>
  </si>
  <si>
    <t>=IF($F$13="yes",0,IF($P203="",0,ROUND(NL("SUM","G/L Budget Entry","Amount","Fund No.",$F$22,"G/L Account No.",$P203,"Company=",$D$6,"Global Dimension 1 Code","@@"&amp;$I203,"Global Dimension 2 Code",$F$12,"Date",$AN$3),0)))</t>
  </si>
  <si>
    <t>=IF($F$13="YES",AF203,AN203)</t>
  </si>
  <si>
    <t>=ABS(SUMIF(V203:AP203,"&gt;0")-SUMIF(V203:AP203,"&lt;0"))</t>
  </si>
  <si>
    <t>=I204</t>
  </si>
  <si>
    <t>="Total " &amp;($R169)</t>
  </si>
  <si>
    <t>=SUM(T170:T204)</t>
  </si>
  <si>
    <t>=SUM(V170:V204)</t>
  </si>
  <si>
    <t>=SUM(X170:X204)</t>
  </si>
  <si>
    <t>=SUM(Z170:Z204)</t>
  </si>
  <si>
    <t>=SUM(AB170:AB204)</t>
  </si>
  <si>
    <t>=SUM(AD170:AD204)</t>
  </si>
  <si>
    <t>=SUM(AF170:AF204)</t>
  </si>
  <si>
    <t>=SUM(AH170:AH204)</t>
  </si>
  <si>
    <t>=SUM(AJ170:AJ204)</t>
  </si>
  <si>
    <t>=SUM(AL170:AL204)</t>
  </si>
  <si>
    <t>=SUM(AN170:AN204)</t>
  </si>
  <si>
    <t>=SUM(AP170:AP204)</t>
  </si>
  <si>
    <t>=ABS(SUMIF(V205:AP205,"&gt;0")-SUMIF(V205:AP205,"&lt;0"))</t>
  </si>
  <si>
    <t>=SUM(T169:T204)</t>
  </si>
  <si>
    <t>=SUM(V169:V204)</t>
  </si>
  <si>
    <t>=SUM(X169:X204)</t>
  </si>
  <si>
    <t>=SUM(Z169:Z204)</t>
  </si>
  <si>
    <t>=SUM(AB169:AB204)</t>
  </si>
  <si>
    <t>=SUM(AD169:AD204)</t>
  </si>
  <si>
    <t>=SUM(AF169:AF204)</t>
  </si>
  <si>
    <t>=SUM(AH169:AH204)</t>
  </si>
  <si>
    <t>=SUM(AJ169:AJ204)</t>
  </si>
  <si>
    <t>=SUM(AL169:AL204)</t>
  </si>
  <si>
    <t>=SUM(AN169:AN204)</t>
  </si>
  <si>
    <t>=SUM(AP169:AP204)</t>
  </si>
  <si>
    <t>=B205</t>
  </si>
  <si>
    <t>=I205</t>
  </si>
  <si>
    <t>="57201"</t>
  </si>
  <si>
    <t>=IF(AQ211=0,"Hide","Show")</t>
  </si>
  <si>
    <t>=I207</t>
  </si>
  <si>
    <t>=IF($I208="","",(NL("Rows","Dimension Value","Name","Dimension Code",$H207,"Code",$I208,"Company=",$D$6)))</t>
  </si>
  <si>
    <t>=IF(AQ209=0,"Hide","Show")</t>
  </si>
  <si>
    <t>=I208</t>
  </si>
  <si>
    <t>=NL("Rows", NL("Union", NL("allunique","G/L Entry",$E$20,$E$20,$E$105,$E$22,$F$22,$E$21,"@@"&amp;I209,"Company=",$D$6,"Posting Date",$J$5),NL("allunique","G/L Budget Entry",$E$20,$E$20,$E$105,$E$24,$F$22,$E$21,"@@"&amp;I209,"Company=",$D$6,"Date",$J$6)))</t>
  </si>
  <si>
    <t>=IF(I209="","500000 51800",K209&amp;" "&amp;I209)</t>
  </si>
  <si>
    <t>=K209</t>
  </si>
  <si>
    <t>=IF($P209="","",NL("Rows","G/L Account","Name","No.",$P209,"Company=",$D$6))</t>
  </si>
  <si>
    <t>=IF($P209="",0,ROUND(NL("SUM","G/L Entry","Amount","G/L Account No.",$P209,"Fund No.",$F$22,"Global Dimension 2 Code",$F$12,"Global Dimension 1 Code","@@"&amp;$I209,"Company=",$D$6,"Transaction Type",T$4,"Posting Date",T$3),0))</t>
  </si>
  <si>
    <t>=IF(OR(V$1="hide",$P209=""),0,ROUND(NL("SUM","G/L Entry","Amount","G/L Account No.",$P209,"Fund No.",$F$22,"Global Dimension 2 Code",$F$12,"Global Dimension 1 Code","@@"&amp;$I209,"Company=",$D$6,"Transaction Type",V$4,"Posting Date",V$3),0))</t>
  </si>
  <si>
    <t>=IF(OR(X$1="hide",$P209=""),0,ROUND(NL("SUM","G/L Entry","Amount","G/L Account No.",$P209,"Fund No.",$F$22,"Global Dimension 2 Code",$F$12,"Global Dimension 1 Code","@@"&amp;$I209,"Company=",$D$6,"Transaction Type",X$4,"Posting Date",X$3),0))</t>
  </si>
  <si>
    <t>=IF(OR(Z$1="hide",$P209=""),0,ROUND(NL("SUM","G/L Entry","Amount","G/L Account No.",$P209,"Fund No.",$F$22,"Global Dimension 2 Code",$F$12,"Global Dimension 1 Code","@@"&amp;$I209,"Company=",$D$6,"Transaction Type",Z$4,"Posting Date",Z$3),0))</t>
  </si>
  <si>
    <t>=IF(OR(AB$1="hide",$P209=""),0,ROUND(NL("SUM","G/L Entry","Amount","G/L Account No.",$P209,"Fund No.",$F$22,"Global Dimension 2 Code",$F$12,"Global Dimension 1 Code","@@"&amp;$I209,"Company=",$D$6,"Transaction Type",AB$4,"Posting Date",AB$3),0))</t>
  </si>
  <si>
    <t>=IF(OR(AD$1="hide",$P209=""),0,ROUND(NL("SUM","G/L Entry","Amount","G/L Account No.",$P209,"Fund No.",$F$22,"Global Dimension 2 Code",$F$12,"Global Dimension 1 Code","@@"&amp;$I209,"Company=",$D$6,"Transaction Type",AD$4,"Posting Date",AD$3),0))</t>
  </si>
  <si>
    <t>=IF(OR(AF$1="hide",$P209=""),0,ROUND(NL("SUM","G/L Entry","Amount","G/L Account No.",$P209,"Fund No.",$F$22,"Global Dimension 2 Code",$F$12,"Global Dimension 1 Code","@@"&amp;$I209,"Company=",$D$6,"Transaction Type",AF$4,"Posting Date",AF$3),0))</t>
  </si>
  <si>
    <t>=IF(OR(AH$1="hide",$P209=""),0,(ROUND(NL("SUM","G/L Entry","Amount","G/L Account No.",$P209,"Fund No.",$F$22,"Global Dimension 2 Code",$F$12,"Global Dimension 1 Code","@@"&amp;$I209,"Company=",$D$6,"Transaction Type",AH$4,"Posting Date",AH$3),0)))</t>
  </si>
  <si>
    <t>=IF(ISERROR(AH209+AJ209),0,(AH209+AJ209))</t>
  </si>
  <si>
    <t>=IF($F$13="yes",0,IF($P209="",0,ROUND(NL("SUM","G/L Budget Entry","Amount","Fund No.",$F$22,"G/L Account No.",$P209,"Company=",$D$6,"Global Dimension 1 Code","@@"&amp;$I209,"Global Dimension 2 Code",$F$12,"Date",$AN$3),0)))</t>
  </si>
  <si>
    <t>=IF($F$13="YES",AF209,AN209)</t>
  </si>
  <si>
    <t>=ABS(SUMIF(V209:AP209,"&gt;0")-SUMIF(V209:AP209,"&lt;0"))</t>
  </si>
  <si>
    <t>=I209</t>
  </si>
  <si>
    <t>=I210</t>
  </si>
  <si>
    <t>="Total " &amp;($R208)</t>
  </si>
  <si>
    <t>=SUM(T209:T210)</t>
  </si>
  <si>
    <t>=SUM(V209:V210)</t>
  </si>
  <si>
    <t>=SUM(X209:X210)</t>
  </si>
  <si>
    <t>=SUM(Z209:Z210)</t>
  </si>
  <si>
    <t>=SUM(AB209:AB210)</t>
  </si>
  <si>
    <t>=SUM(AD209:AD210)</t>
  </si>
  <si>
    <t>=SUM(AF209:AF210)</t>
  </si>
  <si>
    <t>=SUM(AH209:AH210)</t>
  </si>
  <si>
    <t>=SUM(AJ209:AJ210)</t>
  </si>
  <si>
    <t>=SUM(AL209:AL210)</t>
  </si>
  <si>
    <t>=SUM(AN209:AN210)</t>
  </si>
  <si>
    <t>=SUM(AP209:AP210)</t>
  </si>
  <si>
    <t>=ABS(SUMIF(V211:AP211,"&gt;0")-SUMIF(V211:AP211,"&lt;0"))</t>
  </si>
  <si>
    <t>=SUM(T208:T210)</t>
  </si>
  <si>
    <t>=SUM(V208:V210)</t>
  </si>
  <si>
    <t>=SUM(X208:X210)</t>
  </si>
  <si>
    <t>=SUM(Z208:Z210)</t>
  </si>
  <si>
    <t>=SUM(AB208:AB210)</t>
  </si>
  <si>
    <t>=SUM(AD208:AD210)</t>
  </si>
  <si>
    <t>=SUM(AF208:AF210)</t>
  </si>
  <si>
    <t>=SUM(AH208:AH210)</t>
  </si>
  <si>
    <t>=SUM(AJ208:AJ210)</t>
  </si>
  <si>
    <t>=SUM(AL208:AL210)</t>
  </si>
  <si>
    <t>=SUM(AN208:AN210)</t>
  </si>
  <si>
    <t>=SUM(AP208:AP210)</t>
  </si>
  <si>
    <t>=B211</t>
  </si>
  <si>
    <t>=I211</t>
  </si>
  <si>
    <t>="57205"</t>
  </si>
  <si>
    <t>=IF(AQ217=0,"Hide","Show")</t>
  </si>
  <si>
    <t>=I213</t>
  </si>
  <si>
    <t>=IF($I214="","",(NL("Rows","Dimension Value","Name","Dimension Code",$H213,"Code",$I214,"Company=",$D$6)))</t>
  </si>
  <si>
    <t>=IF(AQ215=0,"Hide","Show")</t>
  </si>
  <si>
    <t>=I214</t>
  </si>
  <si>
    <t>=NL("Rows", NL("Union", NL("allunique","G/L Entry",$E$20,$E$20,$E$105,$E$22,$F$22,$E$21,"@@"&amp;I215,"Company=",$D$6,"Posting Date",$J$5),NL("allunique","G/L Budget Entry",$E$20,$E$20,$E$105,$E$24,$F$22,$E$21,"@@"&amp;I215,"Company=",$D$6,"Date",$J$6)))</t>
  </si>
  <si>
    <t>=IF(I215="","500000 51800",K215&amp;" "&amp;I215)</t>
  </si>
  <si>
    <t>=K215</t>
  </si>
  <si>
    <t>=IF($P215="","",NL("Rows","G/L Account","Name","No.",$P215,"Company=",$D$6))</t>
  </si>
  <si>
    <t>=IF($P215="",0,ROUND(NL("SUM","G/L Entry","Amount","G/L Account No.",$P215,"Fund No.",$F$22,"Global Dimension 2 Code",$F$12,"Global Dimension 1 Code","@@"&amp;$I215,"Company=",$D$6,"Transaction Type",T$4,"Posting Date",T$3),0))</t>
  </si>
  <si>
    <t>=IF(OR(V$1="hide",$P215=""),0,ROUND(NL("SUM","G/L Entry","Amount","G/L Account No.",$P215,"Fund No.",$F$22,"Global Dimension 2 Code",$F$12,"Global Dimension 1 Code","@@"&amp;$I215,"Company=",$D$6,"Transaction Type",V$4,"Posting Date",V$3),0))</t>
  </si>
  <si>
    <t>=IF(OR(X$1="hide",$P215=""),0,ROUND(NL("SUM","G/L Entry","Amount","G/L Account No.",$P215,"Fund No.",$F$22,"Global Dimension 2 Code",$F$12,"Global Dimension 1 Code","@@"&amp;$I215,"Company=",$D$6,"Transaction Type",X$4,"Posting Date",X$3),0))</t>
  </si>
  <si>
    <t>=IF(OR(Z$1="hide",$P215=""),0,ROUND(NL("SUM","G/L Entry","Amount","G/L Account No.",$P215,"Fund No.",$F$22,"Global Dimension 2 Code",$F$12,"Global Dimension 1 Code","@@"&amp;$I215,"Company=",$D$6,"Transaction Type",Z$4,"Posting Date",Z$3),0))</t>
  </si>
  <si>
    <t>=IF(OR(AB$1="hide",$P215=""),0,ROUND(NL("SUM","G/L Entry","Amount","G/L Account No.",$P215,"Fund No.",$F$22,"Global Dimension 2 Code",$F$12,"Global Dimension 1 Code","@@"&amp;$I215,"Company=",$D$6,"Transaction Type",AB$4,"Posting Date",AB$3),0))</t>
  </si>
  <si>
    <t>=IF(OR(AD$1="hide",$P215=""),0,ROUND(NL("SUM","G/L Entry","Amount","G/L Account No.",$P215,"Fund No.",$F$22,"Global Dimension 2 Code",$F$12,"Global Dimension 1 Code","@@"&amp;$I215,"Company=",$D$6,"Transaction Type",AD$4,"Posting Date",AD$3),0))</t>
  </si>
  <si>
    <t>=IF(OR(AF$1="hide",$P215=""),0,ROUND(NL("SUM","G/L Entry","Amount","G/L Account No.",$P215,"Fund No.",$F$22,"Global Dimension 2 Code",$F$12,"Global Dimension 1 Code","@@"&amp;$I215,"Company=",$D$6,"Transaction Type",AF$4,"Posting Date",AF$3),0))</t>
  </si>
  <si>
    <t>=IF(OR(AH$1="hide",$P215=""),0,(ROUND(NL("SUM","G/L Entry","Amount","G/L Account No.",$P215,"Fund No.",$F$22,"Global Dimension 2 Code",$F$12,"Global Dimension 1 Code","@@"&amp;$I215,"Company=",$D$6,"Transaction Type",AH$4,"Posting Date",AH$3),0)))</t>
  </si>
  <si>
    <t>=IF(ISERROR(AH215+AJ215),0,(AH215+AJ215))</t>
  </si>
  <si>
    <t>=IF($F$13="yes",0,IF($P215="",0,ROUND(NL("SUM","G/L Budget Entry","Amount","Fund No.",$F$22,"G/L Account No.",$P215,"Company=",$D$6,"Global Dimension 1 Code","@@"&amp;$I215,"Global Dimension 2 Code",$F$12,"Date",$AN$3),0)))</t>
  </si>
  <si>
    <t>=IF($F$13="YES",AF215,AN215)</t>
  </si>
  <si>
    <t>=ABS(SUMIF(V215:AP215,"&gt;0")-SUMIF(V215:AP215,"&lt;0"))</t>
  </si>
  <si>
    <t>=I215</t>
  </si>
  <si>
    <t>=I216</t>
  </si>
  <si>
    <t>="Total " &amp;($R214)</t>
  </si>
  <si>
    <t>=SUM(T215:T216)</t>
  </si>
  <si>
    <t>=SUM(V215:V216)</t>
  </si>
  <si>
    <t>=SUM(X215:X216)</t>
  </si>
  <si>
    <t>=SUM(Z215:Z216)</t>
  </si>
  <si>
    <t>=SUM(AB215:AB216)</t>
  </si>
  <si>
    <t>=SUM(AD215:AD216)</t>
  </si>
  <si>
    <t>=SUM(AF215:AF216)</t>
  </si>
  <si>
    <t>=SUM(AH215:AH216)</t>
  </si>
  <si>
    <t>=SUM(AJ215:AJ216)</t>
  </si>
  <si>
    <t>=SUM(AL215:AL216)</t>
  </si>
  <si>
    <t>=SUM(AN215:AN216)</t>
  </si>
  <si>
    <t>=SUM(AP215:AP216)</t>
  </si>
  <si>
    <t>=ABS(SUMIF(V217:AP217,"&gt;0")-SUMIF(V217:AP217,"&lt;0"))</t>
  </si>
  <si>
    <t>=SUM(T214:T216)</t>
  </si>
  <si>
    <t>=SUM(V214:V216)</t>
  </si>
  <si>
    <t>=SUM(X214:X216)</t>
  </si>
  <si>
    <t>=SUM(Z214:Z216)</t>
  </si>
  <si>
    <t>=SUM(AB214:AB216)</t>
  </si>
  <si>
    <t>=SUM(AD214:AD216)</t>
  </si>
  <si>
    <t>=SUM(AF214:AF216)</t>
  </si>
  <si>
    <t>=SUM(AH214:AH216)</t>
  </si>
  <si>
    <t>=SUM(AJ214:AJ216)</t>
  </si>
  <si>
    <t>=SUM(AL214:AL216)</t>
  </si>
  <si>
    <t>=SUM(AN214:AN216)</t>
  </si>
  <si>
    <t>=SUM(AP214:AP216)</t>
  </si>
  <si>
    <t>=B217</t>
  </si>
  <si>
    <t>=I217</t>
  </si>
  <si>
    <t>="57206"</t>
  </si>
  <si>
    <t>=IF(AQ223=0,"Hide","Show")</t>
  </si>
  <si>
    <t>=I219</t>
  </si>
  <si>
    <t>=IF($I220="","",(NL("Rows","Dimension Value","Name","Dimension Code",$H219,"Code",$I220,"Company=",$D$6)))</t>
  </si>
  <si>
    <t>=IF(AQ221=0,"Hide","Show")</t>
  </si>
  <si>
    <t>=I220</t>
  </si>
  <si>
    <t>=NL("Rows", NL("Union", NL("allunique","G/L Entry",$E$20,$E$20,$E$105,$E$22,$F$22,$E$21,"@@"&amp;I221,"Company=",$D$6,"Posting Date",$J$5),NL("allunique","G/L Budget Entry",$E$20,$E$20,$E$105,$E$24,$F$22,$E$21,"@@"&amp;I221,"Company=",$D$6,"Date",$J$6)))</t>
  </si>
  <si>
    <t>=IF(I221="","500000 51800",K221&amp;" "&amp;I221)</t>
  </si>
  <si>
    <t>=K221</t>
  </si>
  <si>
    <t>=IF($P221="","",NL("Rows","G/L Account","Name","No.",$P221,"Company=",$D$6))</t>
  </si>
  <si>
    <t>=IF($P221="",0,ROUND(NL("SUM","G/L Entry","Amount","G/L Account No.",$P221,"Fund No.",$F$22,"Global Dimension 2 Code",$F$12,"Global Dimension 1 Code","@@"&amp;$I221,"Company=",$D$6,"Transaction Type",T$4,"Posting Date",T$3),0))</t>
  </si>
  <si>
    <t>=IF(OR(V$1="hide",$P221=""),0,ROUND(NL("SUM","G/L Entry","Amount","G/L Account No.",$P221,"Fund No.",$F$22,"Global Dimension 2 Code",$F$12,"Global Dimension 1 Code","@@"&amp;$I221,"Company=",$D$6,"Transaction Type",V$4,"Posting Date",V$3),0))</t>
  </si>
  <si>
    <t>=IF(OR(X$1="hide",$P221=""),0,ROUND(NL("SUM","G/L Entry","Amount","G/L Account No.",$P221,"Fund No.",$F$22,"Global Dimension 2 Code",$F$12,"Global Dimension 1 Code","@@"&amp;$I221,"Company=",$D$6,"Transaction Type",X$4,"Posting Date",X$3),0))</t>
  </si>
  <si>
    <t>=IF(OR(Z$1="hide",$P221=""),0,ROUND(NL("SUM","G/L Entry","Amount","G/L Account No.",$P221,"Fund No.",$F$22,"Global Dimension 2 Code",$F$12,"Global Dimension 1 Code","@@"&amp;$I221,"Company=",$D$6,"Transaction Type",Z$4,"Posting Date",Z$3),0))</t>
  </si>
  <si>
    <t>=IF(OR(AB$1="hide",$P221=""),0,ROUND(NL("SUM","G/L Entry","Amount","G/L Account No.",$P221,"Fund No.",$F$22,"Global Dimension 2 Code",$F$12,"Global Dimension 1 Code","@@"&amp;$I221,"Company=",$D$6,"Transaction Type",AB$4,"Posting Date",AB$3),0))</t>
  </si>
  <si>
    <t>=IF(OR(AD$1="hide",$P221=""),0,ROUND(NL("SUM","G/L Entry","Amount","G/L Account No.",$P221,"Fund No.",$F$22,"Global Dimension 2 Code",$F$12,"Global Dimension 1 Code","@@"&amp;$I221,"Company=",$D$6,"Transaction Type",AD$4,"Posting Date",AD$3),0))</t>
  </si>
  <si>
    <t>=IF(OR(AF$1="hide",$P221=""),0,ROUND(NL("SUM","G/L Entry","Amount","G/L Account No.",$P221,"Fund No.",$F$22,"Global Dimension 2 Code",$F$12,"Global Dimension 1 Code","@@"&amp;$I221,"Company=",$D$6,"Transaction Type",AF$4,"Posting Date",AF$3),0))</t>
  </si>
  <si>
    <t>=IF(OR(AH$1="hide",$P221=""),0,(ROUND(NL("SUM","G/L Entry","Amount","G/L Account No.",$P221,"Fund No.",$F$22,"Global Dimension 2 Code",$F$12,"Global Dimension 1 Code","@@"&amp;$I221,"Company=",$D$6,"Transaction Type",AH$4,"Posting Date",AH$3),0)))</t>
  </si>
  <si>
    <t>=IF(ISERROR(AH221+AJ221),0,(AH221+AJ221))</t>
  </si>
  <si>
    <t>=IF($F$13="yes",0,IF($P221="",0,ROUND(NL("SUM","G/L Budget Entry","Amount","Fund No.",$F$22,"G/L Account No.",$P221,"Company=",$D$6,"Global Dimension 1 Code","@@"&amp;$I221,"Global Dimension 2 Code",$F$12,"Date",$AN$3),0)))</t>
  </si>
  <si>
    <t>=IF($F$13="YES",AF221,AN221)</t>
  </si>
  <si>
    <t>=ABS(SUMIF(V221:AP221,"&gt;0")-SUMIF(V221:AP221,"&lt;0"))</t>
  </si>
  <si>
    <t>=I221</t>
  </si>
  <si>
    <t>=I222</t>
  </si>
  <si>
    <t>="Total " &amp;($R220)</t>
  </si>
  <si>
    <t>=SUM(T221:T222)</t>
  </si>
  <si>
    <t>=SUM(V221:V222)</t>
  </si>
  <si>
    <t>=SUM(X221:X222)</t>
  </si>
  <si>
    <t>=SUM(Z221:Z222)</t>
  </si>
  <si>
    <t>=SUM(AB221:AB222)</t>
  </si>
  <si>
    <t>=SUM(AD221:AD222)</t>
  </si>
  <si>
    <t>=SUM(AF221:AF222)</t>
  </si>
  <si>
    <t>=SUM(AH221:AH222)</t>
  </si>
  <si>
    <t>=SUM(AJ221:AJ222)</t>
  </si>
  <si>
    <t>=SUM(AL221:AL222)</t>
  </si>
  <si>
    <t>=SUM(AN221:AN222)</t>
  </si>
  <si>
    <t>=SUM(AP221:AP222)</t>
  </si>
  <si>
    <t>=ABS(SUMIF(V223:AP223,"&gt;0")-SUMIF(V223:AP223,"&lt;0"))</t>
  </si>
  <si>
    <t>=SUM(T220:T222)</t>
  </si>
  <si>
    <t>=SUM(V220:V222)</t>
  </si>
  <si>
    <t>=SUM(X220:X222)</t>
  </si>
  <si>
    <t>=SUM(Z220:Z222)</t>
  </si>
  <si>
    <t>=SUM(AB220:AB222)</t>
  </si>
  <si>
    <t>=SUM(AD220:AD222)</t>
  </si>
  <si>
    <t>=SUM(AF220:AF222)</t>
  </si>
  <si>
    <t>=SUM(AH220:AH222)</t>
  </si>
  <si>
    <t>=SUM(AJ220:AJ222)</t>
  </si>
  <si>
    <t>=SUM(AL220:AL222)</t>
  </si>
  <si>
    <t>=SUM(AN220:AN222)</t>
  </si>
  <si>
    <t>=SUM(AP220:AP222)</t>
  </si>
  <si>
    <t>=B223</t>
  </si>
  <si>
    <t>=I223</t>
  </si>
  <si>
    <t>=SUM(AU110:AU225)</t>
  </si>
  <si>
    <t>=SUM(AV110:AV225)</t>
  </si>
  <si>
    <t>=SUM(AW110:AW225)</t>
  </si>
  <si>
    <t>=SUM(AX110:AX225)</t>
  </si>
  <si>
    <t>=SUM(AY110:AY225)</t>
  </si>
  <si>
    <t>=SUM(AZ110:AZ225)</t>
  </si>
  <si>
    <t>=SUM(BA110:BA225)</t>
  </si>
  <si>
    <t>=SUM(BB110:BB225)</t>
  </si>
  <si>
    <t>=SUM(BC110:BC225)</t>
  </si>
  <si>
    <t>=SUM(BD110:BD225)</t>
  </si>
  <si>
    <t>=SUM(BE110:BE225)</t>
  </si>
  <si>
    <t>=SUM(BF110:BF225)</t>
  </si>
  <si>
    <t>=$Z$295+$Z$296+$Z$297+$Z$298</t>
  </si>
  <si>
    <t>=IF(AQ231=0,"Hide","Show")</t>
  </si>
  <si>
    <t>=IF(AQ229=0,"Hide","Show")</t>
  </si>
  <si>
    <t>=NL("Rows", NL("Union", NL("allunique","G/L Entry",$E$20,$E$20,$E$227,"Fund No.",$F$22,"Company=",$D$6,"Posting Date",$J$5),NL("allunique","G/L Budget Entry",$E$20,$E$20,$E$227,"Fund Code",$F$22,"Company=",$D$6,"Date",$J$6)))</t>
  </si>
  <si>
    <t>=IF(K229="","565999",K229)</t>
  </si>
  <si>
    <t>=K229</t>
  </si>
  <si>
    <t>=IF($P229="","",NL("Rows","G/L Account","Name","No.",$P229,"Company=",$D$6))</t>
  </si>
  <si>
    <t>=IF($P229="",0,ROUND(NL("SUM","G/L Entry","Amount","G/L Account No.",$P229,"Fund No.",$F$22,"Global Dimension 2 Code",$F$12,"Company=",$D$6,"Transaction Type",T$4,"Posting Date",T$3),0))</t>
  </si>
  <si>
    <t>=IF(OR(V$1="hide",$P229=""),0,ROUND(NL("SUM","G/L Entry","Amount","G/L Account No.",$P229,"Fund No.",$F$22,"Global Dimension 2 Code",$F$12,"Company=",$D$6,"Transaction Type",V$4,"Posting Date",V$3),0))</t>
  </si>
  <si>
    <t>=IF(OR(X$1="hide",$P229=""),0,ROUND(NL("SUM","G/L Entry","Amount","G/L Account No.",$P229,"Fund No.",$F$22,"Global Dimension 2 Code",$F$12,"Company=",$D$6,"Transaction Type",X$4,"Posting Date",X$3),0))</t>
  </si>
  <si>
    <t>=IF(OR(Z$1="hide",$P229=""),0,ROUND(NL("SUM","G/L Entry","Amount","G/L Account No.",$P229,"Fund No.",$F$22,"Global Dimension 2 Code",$F$12,"Company=",$D$6,"Transaction Type",Z$4,"Posting Date",Z$3),0))</t>
  </si>
  <si>
    <t>=IF(OR(AB$1="hide",$P229=""),0,ROUND(NL("SUM","G/L Entry","Amount","G/L Account No.",$P229,"Fund No.",$F$22,"Global Dimension 2 Code",$F$12,"Company=",$D$6,"Transaction Type",AB$4,"Posting Date",AB$3),0))</t>
  </si>
  <si>
    <t>=IF(OR(AD$1="hide",$P229=""),0,ROUND(NL("SUM","G/L Entry","Amount","G/L Account No.",$P229,"Fund No.",$F$22,"Global Dimension 2 Code",$F$12,"Company=",$D$6,"Transaction Type",AD$4,"Posting Date",AD$3),0))</t>
  </si>
  <si>
    <t>=IF(OR(AF$1="hide",$P229=""),0,ROUND(NL("SUM","G/L Entry","Amount","G/L Account No.",$P229,"Fund No.",$F$22,"Global Dimension 2 Code",$F$12,"Company=",$D$6,"Transaction Type",AF$4,"Posting Date",AF$3),0))</t>
  </si>
  <si>
    <t>=IF(OR(AH$1="hide",$P229=""),0,SUM(ROUND(NL("SUM","G/L Entry","Amount","G/L Account No.",$P229,"Fund No.",$F$22,"Global Dimension 2 Code",$F$12,"Company=",$D$6,"Transaction Type",AH$4,"Posting Date",AH$3),0),IF($P229="565001",-$AH$227,IF($P229="565002",-$AH$227,IF($P229="565003",-$AH$227,IF($P229="565004",-$AH$227,0))))))</t>
  </si>
  <si>
    <t>=IF(ISERROR(AH229+AJ229),0,(AH229+AJ229))</t>
  </si>
  <si>
    <t>=IF($F$13="yes",0,IF($P229="",0,ROUND(NL("SUM","G/L Budget Entry","Amount","Fund No.",$F$22,"G/L Account No.",$P229,"Company=",$D$6,"Global Dimension 2 Code",$F$12,"Date",$AN$3),0)))</t>
  </si>
  <si>
    <t>=IF($F$13="YES",AF229,AN229)</t>
  </si>
  <si>
    <t>=ABS(SUMIF(V229:AP229,"&gt;0")-SUMIF(V229:AP229,"&lt;0"))</t>
  </si>
  <si>
    <t>=SUM(T229:T230)</t>
  </si>
  <si>
    <t>=SUM(V229:V230)</t>
  </si>
  <si>
    <t>=SUM(X229:X230)</t>
  </si>
  <si>
    <t>=SUM(Z229:Z230)</t>
  </si>
  <si>
    <t>=SUM(AB229:AB230)</t>
  </si>
  <si>
    <t>=SUM(AD229:AD230)</t>
  </si>
  <si>
    <t>=SUM(AF229:AF230)</t>
  </si>
  <si>
    <t>=SUM(AH229:AH230)</t>
  </si>
  <si>
    <t>=SUM(AJ229:AJ230)</t>
  </si>
  <si>
    <t>=SUM(AL229:AL230)</t>
  </si>
  <si>
    <t>=SUM(AN229:AN230)</t>
  </si>
  <si>
    <t>=SUM(AP229:AP230)</t>
  </si>
  <si>
    <t>=ABS(SUMIF(V231:AP231,"&gt;0")-SUMIF(V231:AP231,"&lt;0"))</t>
  </si>
  <si>
    <t>=B231</t>
  </si>
  <si>
    <t>=IF(AQ236=0,"Hide","Show")</t>
  </si>
  <si>
    <t>=IF(AQ234=0,"Hide","Show")</t>
  </si>
  <si>
    <t>=NL("Rows", NL("Union", NL("allunique","G/L Entry",$E$20,$E$20,$E$232,"Fund No.",$F$22,$E$21,$H$232,"Company=",$D$6,"Posting Date",$J$5),NL("allunique","G/L Budget Entry",$E$20,$E$20,$E$232,"Fund Code",$F$22,$E$21,$H$232,"Company=",$D$6,"Date",$J$6)))</t>
  </si>
  <si>
    <t>=IF(K234="","500000 51799",K234&amp;" "&amp;"51799")</t>
  </si>
  <si>
    <t>=K234</t>
  </si>
  <si>
    <t>=IF($P234="","",NL("Rows","G/L Account","Name","No.",$P234,"Company=",$D$6))</t>
  </si>
  <si>
    <t>=IF($P234="",0,ROUND(NL("SUM","G/L Entry","Amount","G/L Account No.",$P234,"Fund No.",$F$22,"Global Dimension 2 Code",$F$12,"Global Dimension 1 Code",$H$232,"Company=",$D$6,"Transaction Type",T$4,"Posting Date",T$3),0))</t>
  </si>
  <si>
    <t>=IF(OR(V$1="hide",$P234=""),0,ROUND(NL("SUM","G/L Entry","Amount","G/L Account No.",$P234,"Fund No.",$F$22,"Global Dimension 2 Code",$F$12,"Global Dimension 1 Code",$H$232,"Company=",$D$6,"Transaction Type",V$4,"Posting Date",V$3),0))</t>
  </si>
  <si>
    <t>=IF(OR(X$1="hide",$P234=""),0,ROUND(NL("SUM","G/L Entry","Amount","G/L Account No.",$P234,"Fund No.",$F$22,"Global Dimension 2 Code",$F$12,"Global Dimension 1 Code",$H$232,"Company=",$D$6,"Transaction Type",X$4,"Posting Date",X$3),0))</t>
  </si>
  <si>
    <t>=IF(OR(Z$1="hide",$P234=""),0,ROUND(NL("SUM","G/L Entry","Amount","G/L Account No.",$P234,"Fund No.",$F$22,"Global Dimension 2 Code",$F$12,"Global Dimension 1 Code",$H$232,"Company=",$D$6,"Transaction Type",Z$4,"Posting Date",Z$3),0))</t>
  </si>
  <si>
    <t>=IF(OR(AB$1="hide",$P234=""),0,ROUND(NL("SUM","G/L Entry","Amount","G/L Account No.",$P234,"Fund No.",$F$22,"Global Dimension 2 Code",$F$12,"Global Dimension 1 Code",$H$232,"Company=",$D$6,"Transaction Type",AB$4,"Posting Date",AB$3),0))</t>
  </si>
  <si>
    <t>=IF(OR(AD$1="hide",$P234=""),0,ROUND(NL("SUM","G/L Entry","Amount","G/L Account No.",$P234,"Fund No.",$F$22,"Global Dimension 2 Code",$F$12,"Global Dimension 1 Code",$H$232,"Company=",$D$6,"Transaction Type",AD$4,"Posting Date",AD$3),0))</t>
  </si>
  <si>
    <t>=IF(OR(AF$1="hide",$P234=""),0,ROUND(NL("SUM","G/L Entry","Amount","G/L Account No.",$P234,"Fund No.",$F$22,"Global Dimension 2 Code",$F$12,"Global Dimension 1 Code",$H$232,"Company=",$D$6,"Transaction Type",AF$4,"Posting Date",AF$3),0))</t>
  </si>
  <si>
    <t>=IF(OR(AH$1="hide",$P234=""),0,ROUND(NL("SUM","G/L Entry","Amount","G/L Account No.",$P234,"Fund No.",$F$22,"Global Dimension 2 Code",$F$12,"Global Dimension 1 Code",$H$232,"Company=",$D$6,"Transaction Type",AH$4,"Posting Date",AH$3),0))</t>
  </si>
  <si>
    <t>=IF(ISERROR(AH234+AJ234),0,(AH234+AJ234))</t>
  </si>
  <si>
    <t>=IF($F$13="yes",0,IF($P234="",0,ROUND(NL("SUM","G/L Budget Entry","Amount","Fund No.",$F$22,"G/L Account No.",$P234,"Company=",$D$6,"Global Dimension 1 Code",$H$232,"Global Dimension 2 Code",$F$12,"Date",$AN$3),0)))</t>
  </si>
  <si>
    <t>=IF($F$13="YES",AF234,AN234)</t>
  </si>
  <si>
    <t>=ABS(SUMIF(V234:AP234,"&gt;0")-SUMIF(V234:AP234,"&lt;0"))</t>
  </si>
  <si>
    <t>=SUM(T234:T235)</t>
  </si>
  <si>
    <t>=SUM(V234:V235)</t>
  </si>
  <si>
    <t>=SUM(X234:X235)</t>
  </si>
  <si>
    <t>=SUM(Z234:Z235)</t>
  </si>
  <si>
    <t>=SUM(AB234:AB235)</t>
  </si>
  <si>
    <t>=SUM(AD234:AD235)</t>
  </si>
  <si>
    <t>=SUM(AF234:AF235)</t>
  </si>
  <si>
    <t>=SUM(AH234:AH235)</t>
  </si>
  <si>
    <t>=SUM(AJ234:AJ235)</t>
  </si>
  <si>
    <t>=SUM(AL234:AL235)</t>
  </si>
  <si>
    <t>=SUM(AN234:AN235)</t>
  </si>
  <si>
    <t>=SUM(AP234:AP235)</t>
  </si>
  <si>
    <t>=ABS(SUMIF(V236:AP236,"&gt;0")-SUMIF(V236:AP236,"&lt;0"))</t>
  </si>
  <si>
    <t>=B236</t>
  </si>
  <si>
    <t>=IF(AQ238=0,"Hide","Show")</t>
  </si>
  <si>
    <t>=IF($F$6="no",0,SUM(T236+T231+T226+T103))</t>
  </si>
  <si>
    <t>=IF($F$6="no",0,SUM(V236+V231+V226+V103))</t>
  </si>
  <si>
    <t>=IF($F$6="no",0,SUM(X236+X231+X226+X103))</t>
  </si>
  <si>
    <t>=IF($F$6="no",0,SUM(Z236+Z231+Z226+Z103))</t>
  </si>
  <si>
    <t>=IF($F$6="no",0,SUM(AB236+AB231+AB226+AB103))</t>
  </si>
  <si>
    <t>=IF($F$6="no",0,SUM(AD236+AD231+AD226+AD103))</t>
  </si>
  <si>
    <t>=IF($F$6="no",0,SUM(AF236+AF231+AF226+AF103))</t>
  </si>
  <si>
    <t>=IF($F$6="no",0,SUM(AH236+AH231+AH226+AH103))</t>
  </si>
  <si>
    <t>=IF($F$6="no",0,SUM(AJ236+AJ231+AJ226+AJ103))</t>
  </si>
  <si>
    <t>=IF($F$6="no",0,SUM(AL236+AL231+AL226+AL103))</t>
  </si>
  <si>
    <t>=IF($F$6="no",0,SUM(AN236+AN231+AN226+AN103))</t>
  </si>
  <si>
    <t>=IF($F$6="no",0,SUM(AP236+AP231+AP226+AP103))</t>
  </si>
  <si>
    <t>=ABS(SUMIF(V238:AP238,"&gt;0")-SUMIF(V238:AP238,"&lt;0"))</t>
  </si>
  <si>
    <t>=B238</t>
  </si>
  <si>
    <t>=IF(AQ243=0,"Hide","Show")</t>
  </si>
  <si>
    <t>=IF(AQ241=0,"Hide","Show")</t>
  </si>
  <si>
    <t>=NL("Rows", NL("Union", NL("allunique","G/L Entry",$E$20,$E$20,$E$239,"Fund No.",$F$22,$E$21,$H$239,"Company=",$D$6,"Posting Date",$J$5),NL("allunique","G/L Budget Entry",$E$20,$E$20,$E$239,"Fund Code",$F$22,$E$21,$H$239,"Company=",$D$6,"Date",$J$6)))</t>
  </si>
  <si>
    <t>=IF(K241="","500000 58100",K241&amp;" "&amp;"58100")</t>
  </si>
  <si>
    <t>=K241</t>
  </si>
  <si>
    <t>=IF($P241="","",NL("Rows","G/L Account","Name","No.",$P241,"Company=",$D$6))</t>
  </si>
  <si>
    <t>=IF($P241="",0,ROUND(NL("SUM","G/L Entry","Amount","G/L Account No.",$P241,"Fund No.",$F$22,"Global Dimension 2 Code",$F$12,"Global Dimension 1 Code",$H$239,"Company=",$D$6,"Transaction Type",T$4,"Posting Date",T$3),0))</t>
  </si>
  <si>
    <t>=IF(OR(V$1="hide",$P241=""),0,ROUND(NL("SUM","G/L Entry","Amount","G/L Account No.",$P241,"Fund No.",$F$22,"Global Dimension 2 Code",$F$12,"Global Dimension 1 Code",$H$239,"Company=",$D$6,"Transaction Type",V$4,"Posting Date",V$3),0))</t>
  </si>
  <si>
    <t>=IF(OR(X$1="hide",$P241=""),0,ROUND(NL("SUM","G/L Entry","Amount","G/L Account No.",$P241,"Fund No.",$F$22,"Global Dimension 2 Code",$F$12,"Global Dimension 1 Code",$H$239,"Company=",$D$6,"Transaction Type",X$4,"Posting Date",X$3),0))</t>
  </si>
  <si>
    <t>=IF(OR(Z$1="hide",$P241=""),0,ROUND(NL("SUM","G/L Entry","Amount","G/L Account No.",$P241,"Fund No.",$F$22,"Global Dimension 2 Code",$F$12,"Global Dimension 1 Code",$H$239,"Company=",$D$6,"Transaction Type",Z$4,"Posting Date",Z$3),0))</t>
  </si>
  <si>
    <t>=IF(OR(AB$1="hide",$P241=""),0,ROUND(NL("SUM","G/L Entry","Amount","G/L Account No.",$P241,"Fund No.",$F$22,"Global Dimension 2 Code",$F$12,"Global Dimension 1 Code",$H$239,"Company=",$D$6,"Transaction Type",AB$4,"Posting Date",AB$3),0))</t>
  </si>
  <si>
    <t>=IF(OR(AD$1="hide",$P241=""),0,ROUND(NL("SUM","G/L Entry","Amount","G/L Account No.",$P241,"Fund No.",$F$22,"Global Dimension 2 Code",$F$12,"Global Dimension 1 Code",$H$239,"Company=",$D$6,"Transaction Type",AD$4,"Posting Date",AD$3),0))</t>
  </si>
  <si>
    <t>=IF(OR(AF$1="hide",$P241=""),0,ROUND(NL("SUM","G/L Entry","Amount","G/L Account No.",$P241,"Fund No.",$F$22,"Global Dimension 2 Code",$F$12,"Global Dimension 1 Code",$H$239,"Company=",$D$6,"Transaction Type",AF$4,"Posting Date",AF$3),0))</t>
  </si>
  <si>
    <t>=IF(OR(AH$1="hide",$P241=""),0,ROUND(NL("SUM","G/L Entry","Amount","G/L Account No.",$P241,"Fund No.",$F$22,"Global Dimension 2 Code",$F$12,"Global Dimension 1 Code",$H$239,"Company=",$D$6,"Transaction Type",AH$4,"Posting Date",AH$3),0))</t>
  </si>
  <si>
    <t>=IF(ISERROR(AH241+AJ241),0,(AH241+AJ241))</t>
  </si>
  <si>
    <t>=IF($F$13="yes",0,IF($P241="",0,ROUND(NL("SUM","G/L Budget Entry","Amount","Fund No.",$F$22,"G/L Account No.",$P241,"Company=",$D$6,"Global Dimension 1 Code",$H$239,"Global Dimension 2 Code",$F$12,"Date",$AN$3),0)))</t>
  </si>
  <si>
    <t>=IF($F$13="YES",AF241,AN241)</t>
  </si>
  <si>
    <t>=ABS(SUMIF(V241:AP241,"&gt;0")-SUMIF(V241:AP241,"&lt;0"))</t>
  </si>
  <si>
    <t>=SUM(T241:T242)</t>
  </si>
  <si>
    <t>=SUM(V241:V242)</t>
  </si>
  <si>
    <t>=SUM(X241:X242)</t>
  </si>
  <si>
    <t>=SUM(Z241:Z242)</t>
  </si>
  <si>
    <t>=SUM(AB241:AB242)</t>
  </si>
  <si>
    <t>=SUM(AD241:AD242)</t>
  </si>
  <si>
    <t>=SUM(AF241:AF242)</t>
  </si>
  <si>
    <t>=SUM(AH241:AH242)</t>
  </si>
  <si>
    <t>=SUM(AJ241:AJ242)</t>
  </si>
  <si>
    <t>=SUM(AL241:AL242)</t>
  </si>
  <si>
    <t>=SUM(AN241:AN242)</t>
  </si>
  <si>
    <t>=SUM(AP241:AP242)</t>
  </si>
  <si>
    <t>=ABS(SUMIF(V243:AP243,"&gt;0")-SUMIF(V243:AP243,"&lt;0"))</t>
  </si>
  <si>
    <t>=B243</t>
  </si>
  <si>
    <t>=IF(AQ243=0,""," &amp; RESERVES")</t>
  </si>
  <si>
    <t>=TRIM(IF(AND($F$22&gt;"399",$F$22&lt;"500"),"TOTAL OPERATING EXPENSES"&amp;N245,"TOTAL EXPENDITURES"&amp;N245))</t>
  </si>
  <si>
    <t>=SUM(T236+T231+T226+T103+T243)</t>
  </si>
  <si>
    <t>=SUM(V236+V231+V226+V103+V243)</t>
  </si>
  <si>
    <t>=SUM(X236+X231+X226+X103+X243)</t>
  </si>
  <si>
    <t>=SUM(Z236+Z231+Z226+Z103+Z243)</t>
  </si>
  <si>
    <t>=SUM(AB236+AB231+AB226+AB103+AB243)</t>
  </si>
  <si>
    <t>=SUM(AD236+AD231+AD226+AD103+AD243)</t>
  </si>
  <si>
    <t>=SUM(AF236+AF231+AF226+AF103+AF243)</t>
  </si>
  <si>
    <t>=SUM(AH236+AH231+AH226+AH103+AH243)</t>
  </si>
  <si>
    <t>=SUM(AJ236+AJ231+AJ226+AJ103+AJ243)</t>
  </si>
  <si>
    <t>=SUM(AL236+AL231+AL226+AL103+AL243)</t>
  </si>
  <si>
    <t>=SUM(AN236+AN231+AN226+AN103+AN243)</t>
  </si>
  <si>
    <t>=SUM(AP236+AP231+AP226+AP103+AP243)</t>
  </si>
  <si>
    <t>=ABS(SUMIF(V245:AP245,"&gt;0")-SUMIF(V245:AP245,"&lt;0"))</t>
  </si>
  <si>
    <t>=IF(R247="","Hide","Show")</t>
  </si>
  <si>
    <t>=SUM(T64-T245-T70)</t>
  </si>
  <si>
    <t>=SUM(V64-V245-V70)</t>
  </si>
  <si>
    <t>=SUM(X64-X245-X70)</t>
  </si>
  <si>
    <t>=SUM(Z64-Z245-Z70)</t>
  </si>
  <si>
    <t>=SUM(AB64-AB245-AB70)</t>
  </si>
  <si>
    <t>=SUM(AD64-AD245-AD70)</t>
  </si>
  <si>
    <t>=SUM(AF64-AF245-AF70)</t>
  </si>
  <si>
    <t>=SUM(AH64-AH245-AH70)</t>
  </si>
  <si>
    <t>=SUM(AJ64-AJ245-AJ70)</t>
  </si>
  <si>
    <t>=SUM(AL64-AL245-AL70)</t>
  </si>
  <si>
    <t>=SUM(AN64-AN245-AN70)</t>
  </si>
  <si>
    <t>=SUM(AP64-AP245-AP70)</t>
  </si>
  <si>
    <t>=ABS(SUMIF(V248:AP248,"&gt;0")-SUMIF(V248:AP248,"&lt;0"))</t>
  </si>
  <si>
    <t>=IF(AND(VALUE($F$22)&gt;399,VALUE($F$22)&lt;500),0,IF(OR($F$11="NO",T$1="HIDE",T$4="ACTUAL"),0,T248+T258))</t>
  </si>
  <si>
    <t>=IF(AND(VALUE($F$22)&gt;399,VALUE($F$22)&lt;500),0,IF(OR($F$11="NO",V$1="HIDE",V$4="ACTUAL"),0,V248+V258))</t>
  </si>
  <si>
    <t>=IF(AND(VALUE($F$22)&gt;399,VALUE($F$22)&lt;500),0,IF(OR($F$11="NO",X$1="HIDE",X$4="ACTUAL"),0,X248+X258))</t>
  </si>
  <si>
    <t>=IF(AND(VALUE($F$22)&gt;399,VALUE($F$22)&lt;500),0,IF(OR($F$11="NO",Z$1="HIDE",Z$4="ACTUAL"),0,Z248+Z258))</t>
  </si>
  <si>
    <t>=IF(AND(VALUE($F$22)&gt;399,VALUE($F$22)&lt;500),0,IF(OR($F$11="NO",AB$1="HIDE",AB$4="ACTUAL"),0,AB248+AB258))</t>
  </si>
  <si>
    <t>=IF(AND(VALUE($F$22)&gt;399,VALUE($F$22)&lt;500),0,IF(OR($F$11="NO",AD$1="HIDE",AD$4="ACTUAL"),0,AD248+AD258))</t>
  </si>
  <si>
    <t>=IF(AND(VALUE($F$22)&gt;399,VALUE($F$22)&lt;500),0,IF(OR($F$11="NO",AF$1="HIDE",AF$4="ACTUAL"),0,AF248+AF258))</t>
  </si>
  <si>
    <t>=IF(AND(VALUE($F$22)&gt;399,VALUE($F$22)&lt;500),0,IF(OR($F$11="NO",AH$1="HIDE",AH$4="ACTUAL"),0,AH248+AH258))</t>
  </si>
  <si>
    <t>=IF(AND(VALUE($F$22)&gt;399,VALUE($F$22)&lt;500),0,IF(OR($F$11="NO",AN$1="HIDE",AN$4="ACTUAL"),0,AN248+AN258))</t>
  </si>
  <si>
    <t>=IF(AND(VALUE($F$22)&gt;399,VALUE($F$22)&lt;500),0,IF(OR($F$11="NO",AP$1="HIDE",AP$4="ACTUAL"),0,AP248+AP258))</t>
  </si>
  <si>
    <t>=IF(OR($F$11="Yes",$AQ259&lt;&gt;0),"Show",IF($AQ259=0,"Hide","Show"))</t>
  </si>
  <si>
    <t>=B252</t>
  </si>
  <si>
    <t>=IF(AQ254=0,"Hide","Show")</t>
  </si>
  <si>
    <t>=NL("Rows", NL("Union", NL("allunique","G/L Entry",$E$20,$E$20,$E252,"Fund No.",$F$22,"Company=",$D$6,"Posting Date",$J$5),NL("allunique","G/L Budget Entry",$E$20,$E$20,$E252,"Fund Code",$F$22,"Company=",$D$6,"Date",$J$6)))</t>
  </si>
  <si>
    <t>=IF(K254="","399998",K254)</t>
  </si>
  <si>
    <t>=K254</t>
  </si>
  <si>
    <t>=IF($P254="","",NL("Rows","G/L Account","Name","No.",$P254,"Company=",$D$6))</t>
  </si>
  <si>
    <t>=IF($P254="",0,-ROUND(NL("SUM","G/L Entry","Amount","G/L Account No.",$P254,"Fund No.",$F$22,"Global Dimension 2 Code",$F$12,"Company=",$D$6,"Transaction Type",T$4,"Posting Date",T$3),0))</t>
  </si>
  <si>
    <t>=IF(OR(V$1="hide",$P254=""),0,-ROUND(NL("SUM","G/L Entry","Amount","G/L Account No.",$P254,"Fund No.",$F$22,"Global Dimension 2 Code",$F$12,"Company=",$D$6,"Transaction Type",V$4,"Posting Date",V$3),0))</t>
  </si>
  <si>
    <t>=IF(OR(X$1="hide",$P254=""),0,-ROUND(NL("SUM","G/L Entry","Amount","G/L Account No.",$P254,"Fund No.",$F$22,"Global Dimension 2 Code",$F$12,"Company=",$D$6,"Transaction Type",X$4,"Posting Date",X$3),0))</t>
  </si>
  <si>
    <t>=IF(OR(Z$1="hide",$P254=""),0,-ROUND(NL("SUM","G/L Entry","Amount","G/L Account No.",$P254,"Fund No.",$F$22,"Global Dimension 2 Code",$F$12,"Company=",$D$6,"Transaction Type",Z$4,"Posting Date",Z$3),0))</t>
  </si>
  <si>
    <t>=IF(OR(AB$1="hide",$P254=""),0,-ROUND(NL("SUM","G/L Entry","Amount","G/L Account No.",$P254,"Fund No.",$F$22,"Global Dimension 2 Code",$F$12,"Company=",$D$6,"Transaction Type",AB$4,"Posting Date",AB$3),0))</t>
  </si>
  <si>
    <t>=IF(OR(AD$1="hide",$P254=""),0,-ROUND(NL("SUM","G/L Entry","Amount","G/L Account No.",$P254,"Fund No.",$F$22,"Global Dimension 2 Code",$F$12,"Company=",$D$6,"Transaction Type",AD$4,"Posting Date",AD$3),0))</t>
  </si>
  <si>
    <t>=IF(OR(AF$1="hide",$P254=""),0,-ROUND(NL("SUM","G/L Entry","Amount","G/L Account No.",$P254,"Fund No.",$F$22,"Global Dimension 2 Code",$F$12,"Company=",$D$6,"Transaction Type",AF$4,"Posting Date",AF$3),0))</t>
  </si>
  <si>
    <t>=IF(OR(AH$1="hide",$P254=""),0,-ROUND(NL("SUM","G/L Entry","Amount","G/L Account No.",$P254,"Fund No.",$F$22,"Global Dimension 2 Code",$F$12,"Company=",$D$6,"Transaction Type",AH$4,"Posting Date",AH$3),0))</t>
  </si>
  <si>
    <t>=IF(ISERROR(AH254+AJ254),0,(AH254+AJ254))</t>
  </si>
  <si>
    <t>=IF($F$13="yes",0,IF($P254="",0,-ROUND(NL("SUM","G/L Budget Entry","Amount","Fund No.",$F$22,"G/L Account No.",$P254,"Company=",$D$6,"Global Dimension 2 Code",$F$12,"Date",$AN$3),0)))</t>
  </si>
  <si>
    <t>=IF($F$13="YES",AF254,AN254)</t>
  </si>
  <si>
    <t>=ABS(SUMIF(V254:AP254,"&gt;0")-SUMIF(V254:AP254,"&lt;0"))</t>
  </si>
  <si>
    <t>=IF(AQ255=0,"Hide","Show")</t>
  </si>
  <si>
    <t>="388100"</t>
  </si>
  <si>
    <t>=IF(K255="","399998",K255)</t>
  </si>
  <si>
    <t>=K255</t>
  </si>
  <si>
    <t>=IF($P255="","",NL("Rows","G/L Account","Name","No.",$P255,"Company=",$D$6))</t>
  </si>
  <si>
    <t>=IF($P255="",0,-ROUND(NL("SUM","G/L Entry","Amount","G/L Account No.",$P255,"Fund No.",$F$22,"Global Dimension 2 Code",$F$12,"Company=",$D$6,"Transaction Type",T$4,"Posting Date",T$3),0))</t>
  </si>
  <si>
    <t>=IF(OR(V$1="hide",$P255=""),0,-ROUND(NL("SUM","G/L Entry","Amount","G/L Account No.",$P255,"Fund No.",$F$22,"Global Dimension 2 Code",$F$12,"Company=",$D$6,"Transaction Type",V$4,"Posting Date",V$3),0))</t>
  </si>
  <si>
    <t>=IF(OR(X$1="hide",$P255=""),0,-ROUND(NL("SUM","G/L Entry","Amount","G/L Account No.",$P255,"Fund No.",$F$22,"Global Dimension 2 Code",$F$12,"Company=",$D$6,"Transaction Type",X$4,"Posting Date",X$3),0))</t>
  </si>
  <si>
    <t>=IF(OR(Z$1="hide",$P255=""),0,-ROUND(NL("SUM","G/L Entry","Amount","G/L Account No.",$P255,"Fund No.",$F$22,"Global Dimension 2 Code",$F$12,"Company=",$D$6,"Transaction Type",Z$4,"Posting Date",Z$3),0))</t>
  </si>
  <si>
    <t>=IF(OR(AB$1="hide",$P255=""),0,-ROUND(NL("SUM","G/L Entry","Amount","G/L Account No.",$P255,"Fund No.",$F$22,"Global Dimension 2 Code",$F$12,"Company=",$D$6,"Transaction Type",AB$4,"Posting Date",AB$3),0))</t>
  </si>
  <si>
    <t>=IF(OR(AD$1="hide",$P255=""),0,-ROUND(NL("SUM","G/L Entry","Amount","G/L Account No.",$P255,"Fund No.",$F$22,"Global Dimension 2 Code",$F$12,"Company=",$D$6,"Transaction Type",AD$4,"Posting Date",AD$3),0))</t>
  </si>
  <si>
    <t>=IF(OR(AF$1="hide",$P255=""),0,-ROUND(NL("SUM","G/L Entry","Amount","G/L Account No.",$P255,"Fund No.",$F$22,"Global Dimension 2 Code",$F$12,"Company=",$D$6,"Transaction Type",AF$4,"Posting Date",AF$3),0))</t>
  </si>
  <si>
    <t>=IF(OR(AH$1="hide",$P255=""),0,-ROUND(NL("SUM","G/L Entry","Amount","G/L Account No.",$P255,"Fund No.",$F$22,"Global Dimension 2 Code",$F$12,"Company=",$D$6,"Transaction Type",AH$4,"Posting Date",AH$3),0))</t>
  </si>
  <si>
    <t>=IF(ISERROR(AH255+AJ255),0,(AH255+AJ255))</t>
  </si>
  <si>
    <t>=IF($F$13="yes",0,IF($P255="",0,-ROUND(NL("SUM","G/L Budget Entry","Amount","Fund No.",$F$22,"G/L Account No.",$P255,"Company=",$D$6,"Global Dimension 2 Code",$F$12,"Date",$AN$3),0)))</t>
  </si>
  <si>
    <t>=IF($F$13="YES",AF255,AN255)</t>
  </si>
  <si>
    <t>=ABS(SUMIF(V255:AP255,"&gt;0")-SUMIF(V255:AP255,"&lt;0"))</t>
  </si>
  <si>
    <t>=IF(AQ256=0,"Hide","Show")</t>
  </si>
  <si>
    <t>="591000"</t>
  </si>
  <si>
    <t>=IF(K256="","399998",K256)</t>
  </si>
  <si>
    <t>=K256</t>
  </si>
  <si>
    <t>=IF($P256="","",NL("Rows","G/L Account","Name","No.",$P256,"Company=",$D$6))</t>
  </si>
  <si>
    <t>=IF($P256="",0,-ROUND(NL("SUM","G/L Entry","Amount","G/L Account No.",$P256,"Fund No.",$F$22,"Global Dimension 2 Code",$F$12,"Company=",$D$6,"Transaction Type",T$4,"Posting Date",T$3),0))</t>
  </si>
  <si>
    <t>=IF(OR(V$1="hide",$P256=""),0,-ROUND(NL("SUM","G/L Entry","Amount","G/L Account No.",$P256,"Fund No.",$F$22,"Global Dimension 2 Code",$F$12,"Company=",$D$6,"Transaction Type",V$4,"Posting Date",V$3),0))</t>
  </si>
  <si>
    <t>=IF(OR(X$1="hide",$P256=""),0,-ROUND(NL("SUM","G/L Entry","Amount","G/L Account No.",$P256,"Fund No.",$F$22,"Global Dimension 2 Code",$F$12,"Company=",$D$6,"Transaction Type",X$4,"Posting Date",X$3),0))</t>
  </si>
  <si>
    <t>=IF(OR(Z$1="hide",$P256=""),0,-ROUND(NL("SUM","G/L Entry","Amount","G/L Account No.",$P256,"Fund No.",$F$22,"Global Dimension 2 Code",$F$12,"Company=",$D$6,"Transaction Type",Z$4,"Posting Date",Z$3),0))</t>
  </si>
  <si>
    <t>=IF(OR(AB$1="hide",$P256=""),0,-ROUND(NL("SUM","G/L Entry","Amount","G/L Account No.",$P256,"Fund No.",$F$22,"Global Dimension 2 Code",$F$12,"Company=",$D$6,"Transaction Type",AB$4,"Posting Date",AB$3),0))</t>
  </si>
  <si>
    <t>=IF(OR(AD$1="hide",$P256=""),0,-ROUND(NL("SUM","G/L Entry","Amount","G/L Account No.",$P256,"Fund No.",$F$22,"Global Dimension 2 Code",$F$12,"Company=",$D$6,"Transaction Type",AD$4,"Posting Date",AD$3),0))</t>
  </si>
  <si>
    <t>=IF(OR(AF$1="hide",$P256=""),0,-ROUND(NL("SUM","G/L Entry","Amount","G/L Account No.",$P256,"Fund No.",$F$22,"Global Dimension 2 Code",$F$12,"Company=",$D$6,"Transaction Type",AF$4,"Posting Date",AF$3),0))</t>
  </si>
  <si>
    <t>=IF(OR(AH$1="hide",$P256=""),0,-ROUND(NL("SUM","G/L Entry","Amount","G/L Account No.",$P256,"Fund No.",$F$22,"Global Dimension 2 Code",$F$12,"Company=",$D$6,"Transaction Type",AH$4,"Posting Date",AH$3),0))</t>
  </si>
  <si>
    <t>=IF(ISERROR(AH256+AJ256),0,(AH256+AJ256))</t>
  </si>
  <si>
    <t>=IF($F$13="yes",0,IF($P256="",0,-ROUND(NL("SUM","G/L Budget Entry","Amount","Fund No.",$F$22,"G/L Account No.",$P256,"Company=",$D$6,"Global Dimension 2 Code",$F$12,"Date",$AN$3),0)))</t>
  </si>
  <si>
    <t>=IF($F$13="YES",AF256,AN256)</t>
  </si>
  <si>
    <t>=ABS(SUMIF(V256:AP256,"&gt;0")-SUMIF(V256:AP256,"&lt;0"))</t>
  </si>
  <si>
    <t>=SUM(T253:T257)</t>
  </si>
  <si>
    <t>=SUM(V253:V257)</t>
  </si>
  <si>
    <t>=SUM(X253:X257)</t>
  </si>
  <si>
    <t>=SUM(Z253:Z257)</t>
  </si>
  <si>
    <t>=SUM(AB253:AB257)</t>
  </si>
  <si>
    <t>=SUM(AD253:AD257)</t>
  </si>
  <si>
    <t>=SUM(AF253:AF257)</t>
  </si>
  <si>
    <t>=SUM(AH253:AH257)</t>
  </si>
  <si>
    <t>=SUM(AJ253:AJ257)</t>
  </si>
  <si>
    <t>=SUM(AL253:AL257)</t>
  </si>
  <si>
    <t>=SUM(AN253:AN257)</t>
  </si>
  <si>
    <t>=SUM(AP253:AP257)</t>
  </si>
  <si>
    <t>=ABS(SUMIF(V258:AP258,"&gt;0")-SUMIF(V258:AP258,"&lt;0"))</t>
  </si>
  <si>
    <t>=K259</t>
  </si>
  <si>
    <t>=IF(OR(T$4="ACTUAL",T$1="hide"),0,T$251)</t>
  </si>
  <si>
    <t>=IF(OR(V$4="ACTUAL",V$1="hide"),0,V$251)</t>
  </si>
  <si>
    <t>=IF(OR(X$4="ACTUAL",X$1="hide"),0,X$251)</t>
  </si>
  <si>
    <t>=IF(OR(Z$4="ACTUAL",Z$1="hide"),0,Z$251)</t>
  </si>
  <si>
    <t>=IF(OR(AB$4="ACTUAL",AB$1="hide"),0,AB$251)</t>
  </si>
  <si>
    <t>=IF(OR(AD$4="ACTUAL",AD$1="hide"),0,AD$251)</t>
  </si>
  <si>
    <t>=IF(OR(AF$4="ACTUAL",AF$1="hide"),0,AF$251)</t>
  </si>
  <si>
    <t>=IF(OR(AH$4="ACTUAL",AH$1="hide"),0,AH$251)</t>
  </si>
  <si>
    <t>=IF(OR(AJ$4="ACTUAL",AJ$1="hide"),0,AJ$251)</t>
  </si>
  <si>
    <t>=IF(ISERROR(AH259+AJ259),0,(AH259+AJ259))</t>
  </si>
  <si>
    <t>=IF(OR(AN$4="ACTUAL",AN$1="hide"),0,AN$251)</t>
  </si>
  <si>
    <t>=IF(OR(AP$4="ACTUAL",AP$1="hide"),0,AP$251)</t>
  </si>
  <si>
    <t>=ABS(SUMIF(V259:AP259,"&gt;0")-SUMIF(V259:AP259,"&lt;0"))</t>
  </si>
  <si>
    <t>=B261</t>
  </si>
  <si>
    <t>=IF(OR($F$11="Yes",$AQ261&lt;&gt;0),"Show",IF($AQ261=0,"Hide","Show"))</t>
  </si>
  <si>
    <t>=SUM(T258:T259)</t>
  </si>
  <si>
    <t>=SUM(V258:V259)</t>
  </si>
  <si>
    <t>=SUM(X258:X259)</t>
  </si>
  <si>
    <t>=SUM(Z258:Z259)</t>
  </si>
  <si>
    <t>=SUM(AB258:AB259)</t>
  </si>
  <si>
    <t>=SUM(AD258:AD259)</t>
  </si>
  <si>
    <t>=SUM(AF258:AF259)</t>
  </si>
  <si>
    <t>=SUM(AH258:AH259)</t>
  </si>
  <si>
    <t>=SUM(AJ258:AJ259)</t>
  </si>
  <si>
    <t>=SUM(AL258:AL259)</t>
  </si>
  <si>
    <t>=SUM(AN258:AN259)</t>
  </si>
  <si>
    <t>=SUM(AP258:AP259)</t>
  </si>
  <si>
    <t>=ABS(SUMIF(V261:AP261,"&gt;0")-SUMIF(V261:AP261,"&lt;0"))</t>
  </si>
  <si>
    <t>=IF(T$4="ACTUAL",SUM(T261+T248),SUM(T261+T248+(IF(ABS(T251)&lt;0.49,0,-T251))))</t>
  </si>
  <si>
    <t>=IF(V$4="ACTUAL",SUM(V261+V248),SUM(V261+V248+(IF(ABS(V251)&lt;0.49,0,-V251))))</t>
  </si>
  <si>
    <t>=IF(X$4="ACTUAL",SUM(X261+X248),SUM(X261+X248+(IF(ABS(X251)&lt;0.49,0,-X251))))</t>
  </si>
  <si>
    <t>=IF(Z$4="ACTUAL",SUM(Z261+Z248),SUM(Z261+Z248+(IF(ABS(Z251)&lt;0.49,0,-Z251))))</t>
  </si>
  <si>
    <t>=IF(AB$4="ACTUAL",SUM(AB261+AB248),SUM(AB261+AB248+(IF(ABS(AB251)&lt;0.49,0,-AB251))))</t>
  </si>
  <si>
    <t>=IF(AD$4="ACTUAL",SUM(AD261+AD248),SUM(AD261+AD248+(IF(ABS(AD251)&lt;0.49,0,-AD251))))</t>
  </si>
  <si>
    <t>=IF(AF$4="ACTUAL",SUM(AF261+AF248),SUM(AF261+AF248+(IF(ABS(AF251)&lt;0.49,0,-AF251))))</t>
  </si>
  <si>
    <t>=IF(AH$4="ACTUAL",SUM(AH261+AH248),SUM(AH261+AH248+(IF(ABS(AH251)&lt;0.49,0,-AH251))))</t>
  </si>
  <si>
    <t>=IF(AJ$4="ACTUAL",SUM(AJ261+AJ248),SUM(AJ261+AJ248+(IF(ABS(AJ251)&lt;0.49,0,-AJ251))))</t>
  </si>
  <si>
    <t>=IF(AL$4="ACTUAL",SUM(AL261+AL248),SUM(AL261+AL248+(IF(ABS(AL251)&lt;0.49,0,-AL251))))</t>
  </si>
  <si>
    <t>=IF(AN$4="ACTUAL",SUM(AN261+AN248),SUM(AN261+AN248+(IF(ABS(AN251)&lt;0.49,0,-AN251))))</t>
  </si>
  <si>
    <t>=IF(AP$4="ACTUAL",SUM(AP261+AP248),SUM(AP261+AP248+(IF(ABS(AP251)&lt;0.49,0,-AP251))))</t>
  </si>
  <si>
    <t>=ABS(SUMIF(V263:AP263,"&gt;0")-SUMIF(V263:AP263,"&lt;0"))</t>
  </si>
  <si>
    <t>=IF($O265="",0,ROUND(-NL("SUM","G/L Entry","Amount","G/L Account No.",$O265,"Fund No.",$F$22,"Company=",$D$6,"Global Dimension 2 Code",$F$12,"Transaction Type","Actual","Posting Date",T$3),0))</t>
  </si>
  <si>
    <t>=IF($O265="",0,IF(V$1="SHOW",ROUND(-NL("SUM","G/L Entry","Amount","G/L Account No.",$O265,"Fund No.",$F$22,"Company=",$D$6,"Global Dimension 2 Code",$F$12,"Transaction Type","Actual","Posting Date",V$3),0),0))</t>
  </si>
  <si>
    <t>=IF($O265="",0,IF(X$1="SHOW",ROUND(-NL("SUM","G/L Entry","Amount","G/L Account No.",$O265,"Fund No.",$F$22,"Company=",$D$6,"Global Dimension 2 Code",$F$12,"Transaction Type","Actual","Posting Date",X$3),0),0))</t>
  </si>
  <si>
    <t>=IF($O265="",0,IF(Z$1="SHOW",ROUND(-NL("SUM","G/L Entry","Amount","G/L Account No.",$O265,"Fund No.",$F$22,"Company=",$D$6,"Global Dimension 2 Code",$F$12,"Transaction Type","Actual","Posting Date",Z$3),0),0))</t>
  </si>
  <si>
    <t>=IF($O265="",0,IF(AB$1="SHOW",ROUND(-NL("SUM","G/L Entry","Amount","G/L Account No.",$O265,"Fund No.",$F$22,"Company=",$D$6,"Global Dimension 2 Code",$F$12,"Transaction Type","Actual","Posting Date",AB$3),0),0))</t>
  </si>
  <si>
    <t>=IF($O265="",0,IF(AD$1="SHOW",ROUND(-NL("SUM","G/L Entry","Amount","G/L Account No.",$O265,"Fund No.",$F$22,"Company=",$D$6,"Global Dimension 2 Code",$F$12,"Transaction Type","Actual","Posting Date",AD$3),0),0))</t>
  </si>
  <si>
    <t>=IF($O265="",0,IF(AF$1="SHOW",ROUND(-NL("SUM","G/L Entry","Amount","G/L Account No.",$O265,"Fund No.",$F$22,"Company=",$D$6,"Global Dimension 2 Code",$F$12,"Transaction Type","Actual","Posting Date",AF$3),0),0))</t>
  </si>
  <si>
    <t>=IF($O265="",0,IF(AH$1="SHOW",ROUND(-NL("SUM","G/L Entry","Amount","G/L Account No.",$O265,"Fund No.",$F$22,"Company=",$D$6,"Global Dimension 2 Code",$F$12,"Transaction Type","Actual","Posting Date",AH$3),0),0))</t>
  </si>
  <si>
    <t>=AH265+AJ265</t>
  </si>
  <si>
    <t>=ABS(SUMIF(V265:AP265,"&gt;0")-SUMIF(V265:AP265,"&lt;0"))</t>
  </si>
  <si>
    <t>=AH266</t>
  </si>
  <si>
    <t>=$Z$299</t>
  </si>
  <si>
    <t>=ABS(SUMIF(V266:AP266,"&gt;0")-SUMIF(V266:AP266,"&lt;0"))</t>
  </si>
  <si>
    <t>=ABS(T64)+ABS(T245)+ABS(T261)</t>
  </si>
  <si>
    <t>=ABS(V64)+ABS(V245)+ABS(V261)</t>
  </si>
  <si>
    <t>=ABS(X64)+ABS(X245)+ABS(X261)</t>
  </si>
  <si>
    <t>=ABS(Z64)+ABS(Z245)+ABS(Z261)</t>
  </si>
  <si>
    <t>=ABS(AB64)+ABS(AB245)+ABS(AB261)</t>
  </si>
  <si>
    <t>=ABS(AD64)+ABS(AD245)+ABS(AD261)</t>
  </si>
  <si>
    <t>=ABS(AF64)+ABS(AF245)+ABS(AF261)</t>
  </si>
  <si>
    <t>=ABS(AH64)+ABS(AH245)+ABS(AH261)</t>
  </si>
  <si>
    <t>=AH267+AJ267</t>
  </si>
  <si>
    <t>=ABS(SUMIF(V267:AP267,"&gt;0")-SUMIF(V267:AP267,"&lt;0"))</t>
  </si>
  <si>
    <t>=IF($O268="",0,IF(AND(T$4="BUDGET",T$267=0),0,ROUND(-NL("SUM","G/L Entry","Amount","G/L Account No.",$O268,"Fund No.",$F$22,"Company=",$D$6,"Transaction Type","ACTUAL","Global Dimension 2 Code",$F$12,"Posting Date",T$5)+T265+T266,0)))</t>
  </si>
  <si>
    <t>=IF(V$1="Show",V270-V265-V263,0)</t>
  </si>
  <si>
    <t>=IF(X$1="Show",X270-X265-X263,0)</t>
  </si>
  <si>
    <t>=IF(Z$1="Show",Z270-Z265-Z263,0)</t>
  </si>
  <si>
    <t>=IF(AB$1="Show",AB270-AB265-AB263,0)</t>
  </si>
  <si>
    <t>=IF(OR($O268="",AD$1="HIDE"),0,IF(AND(AD$4="BUDGET",AD$267=0),0,ROUND(-NL("SUM","G/L Entry","Amount","G/L Account No.",$O268,"Fund No.",$F$22,"Company=",$D$6,"Transaction Type","ACTUAL","Global Dimension 2 Code",$F$12,"Posting Date",AD$5)+AD265+AD266,0)))</t>
  </si>
  <si>
    <t>=IF(OR($O268="",AF$1="HIDE"),0,IF(AND(AF$4="BUDGET",AF$267=0),0,AH268))</t>
  </si>
  <si>
    <t>=IF(OR($O268="",AH$1="HIDE"),0,IF(AND(AH$4="BUDGET",AH$267=0),0,ROUND(-NL("SUM","G/L Entry","Amount","G/L Account No.",$O268,"Fund No.",$F$22,"Company=",$D$6,"Transaction Type","ACTUAL","Global Dimension 2 Code",$F$12,"Posting Date",AH$5)+AH265+AH266,0)))</t>
  </si>
  <si>
    <t>=AH268+AJ268</t>
  </si>
  <si>
    <t>=AL270</t>
  </si>
  <si>
    <t>=ABS(SUMIF(V268:AP268,"&gt;0")-SUMIF(V268:AP268,"&lt;0"))</t>
  </si>
  <si>
    <t>=SUM(T263+T268)</t>
  </si>
  <si>
    <t>=IF(V$1="Hide",0,X268)</t>
  </si>
  <si>
    <t>=IF(X$1="Hide",0,Z268)</t>
  </si>
  <si>
    <t>=IF(Z$1="Hide",0,AB268)</t>
  </si>
  <si>
    <t>=IF(AB$1="Hide",0,AF268)</t>
  </si>
  <si>
    <t>=SUM(AD263+AD268)</t>
  </si>
  <si>
    <t>=SUM(AF263+AF268)</t>
  </si>
  <si>
    <t>=SUM(AH263+AH268)</t>
  </si>
  <si>
    <t>=SUM(AJ263+AJ268)</t>
  </si>
  <si>
    <t>=SUM(AL263+AL268)</t>
  </si>
  <si>
    <t>=SUM(AN263+AN268)</t>
  </si>
  <si>
    <t>=SUM(AP263+AP268)</t>
  </si>
  <si>
    <t>=ABS(SUMIF(V270:AP270,"&gt;0")-SUMIF(V270:AP270,"&lt;0"))</t>
  </si>
  <si>
    <t>=B272</t>
  </si>
  <si>
    <t>=B273</t>
  </si>
  <si>
    <t>=SUM(AQ34:AQ270)</t>
  </si>
  <si>
    <t>=B274</t>
  </si>
  <si>
    <t>=B275</t>
  </si>
  <si>
    <t>=B276</t>
  </si>
  <si>
    <t>=B277</t>
  </si>
  <si>
    <t>=B278</t>
  </si>
  <si>
    <t>=B279</t>
  </si>
  <si>
    <t>=IF(T$1="HIDE",0,IF($P278="",0,-NL("SUM","G/L Entry","Amount","G/L Account No.",$P278,"Global Dimension 2 Code",$F$12,"Fund No.",$F$22,"Company=",$D$6,"Posting Date",T$3,"Transaction Type",T$4))-T64)</t>
  </si>
  <si>
    <t>=IF(V$1="HIDE",0,IF($P278="",0,-NL("SUM","G/L Entry","Amount","G/L Account No.",$P278,"Global Dimension 2 Code",$F$12,"Fund No.",$F$22,"Company=",$D$6,"Posting Date",V$3,"Transaction Type",V$4))-V64)</t>
  </si>
  <si>
    <t>=IF(X$1="HIDE",0,IF($P278="",0,-NL("SUM","G/L Entry","Amount","G/L Account No.",$P278,"Global Dimension 2 Code",$F$12,"Fund No.",$F$22,"Company=",$D$6,"Posting Date",X$3,"Transaction Type",X$4))-X64)</t>
  </si>
  <si>
    <t>=IF(Z$1="HIDE",0,IF($P278="",0,-NL("SUM","G/L Entry","Amount","G/L Account No.",$P278,"Global Dimension 2 Code",$F$12,"Fund No.",$F$22,"Company=",$D$6,"Posting Date",Z$3,"Transaction Type",Z$4))-Z64)</t>
  </si>
  <si>
    <t>=IF(AB$1="HIDE",0,IF($P278="",0,-NL("SUM","G/L Entry","Amount","G/L Account No.",$P278,"Global Dimension 2 Code",$F$12,"Fund No.",$F$22,"Company=",$D$6,"Posting Date",AB$3,"Transaction Type",AB$4))-AB64)</t>
  </si>
  <si>
    <t>=IF(AD$1="HIDE",0,IF($P278="",0,-NL("SUM","G/L Entry","Amount","G/L Account No.",$P278,"Global Dimension 2 Code",$F$12,"Fund No.",$F$22,"Company=",$D$6,"Posting Date",AD$3,"Transaction Type",AD$4))-AD64)</t>
  </si>
  <si>
    <t>=IF(AF$1="HIDE",0,IF($P278="",0,-NL("SUM","G/L Entry","Amount","G/L Account No.",$P278,"Global Dimension 2 Code",$F$12,"Fund No.",$F$22,"Company=",$D$6,"Posting Date",AF$3,"Transaction Type",AF$4))-AF64)</t>
  </si>
  <si>
    <t>=IF(AH$1="HIDE",0,IF($P278="",0,-NL("SUM","G/L Entry","Amount","G/L Account No.",$P278,"Global Dimension 2 Code",$F$12,"Fund No.",$F$22,"Company=",$D$6,"Posting Date",AH$3,"Transaction Type",AH$4))-AH64)</t>
  </si>
  <si>
    <t>=B280</t>
  </si>
  <si>
    <t>=IF(T$1="HIDE",0,IF($P279="",0,NL("SUM","G/L Entry","Amount","G/L Account No.",$P279,"Global Dimension 2 Code",$F$12,"Fund No.",$F$22,"Company=",$D$6,"Posting Date",T$3,"Transaction Type",T$4))-T245-T70)</t>
  </si>
  <si>
    <t>=IF(V$1="HIDE",0,IF($P279="",0,NL("SUM","G/L Entry","Amount","G/L Account No.",$P279,"Global Dimension 2 Code",$F$12,"Fund No.",$F$22,"Company=",$D$6,"Posting Date",V$3,"Transaction Type",V$4))-V245-V70)</t>
  </si>
  <si>
    <t>=IF(X$1="HIDE",0,IF($P279="",0,NL("SUM","G/L Entry","Amount","G/L Account No.",$P279,"Global Dimension 2 Code",$F$12,"Fund No.",$F$22,"Company=",$D$6,"Posting Date",X$3,"Transaction Type",X$4))-X245-X70)</t>
  </si>
  <si>
    <t>=IF(Z$1="HIDE",0,IF($P279="",0,NL("SUM","G/L Entry","Amount","G/L Account No.",$P279,"Global Dimension 2 Code",$F$12,"Fund No.",$F$22,"Company=",$D$6,"Posting Date",Z$3,"Transaction Type",Z$4))-Z245-Z70)</t>
  </si>
  <si>
    <t>=IF(AB$1="HIDE",0,IF($P279="",0,NL("SUM","G/L Entry","Amount","G/L Account No.",$P279,"Global Dimension 2 Code",$F$12,"Fund No.",$F$22,"Company=",$D$6,"Posting Date",AB$3,"Transaction Type",AB$4))-AB245-AB70)</t>
  </si>
  <si>
    <t>=IF(AD$1="HIDE",0,IF($P279="",0,NL("SUM","G/L Entry","Amount","G/L Account No.",$P279,"Global Dimension 2 Code",$F$12,"Fund No.",$F$22,"Company=",$D$6,"Posting Date",AD$3,"Transaction Type",AD$4))-AD245-AD70)</t>
  </si>
  <si>
    <t>=IF(AF$1="HIDE",0,IF($P279="",0,NL("SUM","G/L Entry","Amount","G/L Account No.",$P279,"Global Dimension 2 Code",$F$12,"Fund No.",$F$22,"Company=",$D$6,"Posting Date",AF$3,"Transaction Type",AF$4))-AF245-AF70)</t>
  </si>
  <si>
    <t>=IF(AH$1="HIDE",0,IF($P279="",0,NL("SUM","G/L Entry","Amount","G/L Account No.",$P279,"Global Dimension 2 Code",$F$12,"Fund No.",$F$22,"Company=",$D$6,"Posting Date",AH$3,"Transaction Type",AH$4))-AH245-AH70)</t>
  </si>
  <si>
    <t>=B281</t>
  </si>
  <si>
    <t>=IF(T$1="HIDE",0,IF($P280="",0,NL("SUM","G/L Entry","Amount","G/L Account No.",$P280,"Global Dimension 2 Code",$F$12,"Fund No.",$F$22,"Company=",$D$6,"Posting Date",T$3,"Transaction Type",T$4))+T261-T259)</t>
  </si>
  <si>
    <t>=IF(V$1="HIDE",0,IF($P280="",0,NL("SUM","G/L Entry","Amount","G/L Account No.",$P280,"Global Dimension 2 Code",$F$12,"Fund No.",$F$22,"Company=",$D$6,"Posting Date",V$3,"Transaction Type",V$4))+V261-V259)</t>
  </si>
  <si>
    <t>=IF(X$1="HIDE",0,IF($P280="",0,NL("SUM","G/L Entry","Amount","G/L Account No.",$P280,"Global Dimension 2 Code",$F$12,"Fund No.",$F$22,"Company=",$D$6,"Posting Date",X$3,"Transaction Type",X$4))+X261-X259)</t>
  </si>
  <si>
    <t>=IF(Z$1="HIDE",0,IF($P280="",0,NL("SUM","G/L Entry","Amount","G/L Account No.",$P280,"Global Dimension 2 Code",$F$12,"Fund No.",$F$22,"Company=",$D$6,"Posting Date",Z$3,"Transaction Type",Z$4))+Z261-Z259)</t>
  </si>
  <si>
    <t>=IF(AB$1="HIDE",0,IF($P280="",0,NL("SUM","G/L Entry","Amount","G/L Account No.",$P280,"Global Dimension 2 Code",$F$12,"Fund No.",$F$22,"Company=",$D$6,"Posting Date",AB$3,"Transaction Type",AB$4))+AB261-AB259)</t>
  </si>
  <si>
    <t>=IF(AD$1="HIDE",0,IF($P280="",0,NL("SUM","G/L Entry","Amount","G/L Account No.",$P280,"Global Dimension 2 Code",$F$12,"Fund No.",$F$22,"Company=",$D$6,"Posting Date",AD$3,"Transaction Type",AD$4))+AD261-AD259)</t>
  </si>
  <si>
    <t>=IF(AF$1="HIDE",0,IF($P280="",0,NL("SUM","G/L Entry","Amount","G/L Account No.",$P280,"Global Dimension 2 Code",$F$12,"Fund No.",$F$22,"Company=",$D$6,"Posting Date",AF$3,"Transaction Type",AF$4))+AF261-AF259)</t>
  </si>
  <si>
    <t>=IF(AH$1="HIDE",0,IF($P280="",0,NL("SUM","G/L Entry","Amount","G/L Account No.",$P280,"Global Dimension 2 Code",$F$12,"Fund No.",$F$22,"Company=",$D$6,"Posting Date",AH$3,"Transaction Type",AH$4))+AH261-AH259)</t>
  </si>
  <si>
    <t>=B282</t>
  </si>
  <si>
    <t>=IF(T$1="SHOW",IF(OR($P281="",T$4="BUDGET"),0,-T270-ROUND(NL("SUM","G/L Entry","Amount","G/L Account No.",$P281,"Global Dimension 2 Code",$F$12,"Fund No.",$F$22,"Company=",$D$6,"Transaction Type",T$4,"Posting Date",T$2),0)),0)</t>
  </si>
  <si>
    <t>=IF(V$1="SHOW",IF(OR($P281="",V$4="BUDGET"),0,-V270-ROUND(NL("SUM","G/L Entry","Amount","G/L Account No.",$P281,"Global Dimension 2 Code",$F$12,"Fund No.",$F$22,"Company=",$D$6,"Transaction Type",V$4,"Posting Date",V$2),0)),0)</t>
  </si>
  <si>
    <t>=IF(X$1="SHOW",IF(OR($P281="",X$4="BUDGET"),0,-X270-ROUND(NL("SUM","G/L Entry","Amount","G/L Account No.",$P281,"Global Dimension 2 Code",$F$12,"Fund No.",$F$22,"Company=",$D$6,"Transaction Type",X$4,"Posting Date",X$2),0)),0)</t>
  </si>
  <si>
    <t>=IF(Z$1="SHOW",IF(OR($P281="",Z$4="BUDGET"),0,-Z270-ROUND(NL("SUM","G/L Entry","Amount","G/L Account No.",$P281,"Global Dimension 2 Code",$F$12,"Fund No.",$F$22,"Company=",$D$6,"Transaction Type",Z$4,"Posting Date",Z$2),0)),0)</t>
  </si>
  <si>
    <t>=IF(AB$1="SHOW",IF(OR($P281="",AB$4="BUDGET"),0,-AB270-ROUND(NL("SUM","G/L Entry","Amount","G/L Account No.",$P281,"Global Dimension 2 Code",$F$12,"Fund No.",$F$22,"Company=",$D$6,"Transaction Type",AB$4,"Posting Date",AB$2),0)),0)</t>
  </si>
  <si>
    <t>=IF(AD$1="SHOW",IF(OR($P281="",AD$4="BUDGET"),0,-AD270-ROUND(NL("SUM","G/L Entry","Amount","G/L Account No.",$P281,"Global Dimension 2 Code",$F$12,"Fund No.",$F$22,"Company=",$D$6,"Transaction Type",AD$4,"Posting Date",AD$2),0)),0)</t>
  </si>
  <si>
    <t>=IF(AF$1="SHOW",IF(OR($P281="",AF$4="BUDGET"),0,-AF270-ROUND(NL("SUM","G/L Entry","Amount","G/L Account No.",$P281,"Global Dimension 2 Code",$F$12,"Fund No.",$F$22,"Company=",$D$6,"Transaction Type",AF$4,"Posting Date",AF$2),0)),0)</t>
  </si>
  <si>
    <t>=IF(AH$1="SHOW",IF(OR($P281="",AH$4="BUDGET"),0,-AH270-ROUND(NL("SUM","G/L Entry","Amount","G/L Account No.",$P281,"Global Dimension 2 Code",$F$12,"Fund No.",$F$22,"Company=",$D$6,"Transaction Type",AH$4,"Posting Date",AH$2),0)),0)</t>
  </si>
  <si>
    <t>=B283</t>
  </si>
  <si>
    <t>=IF(COUNTIF(V283:AP283,"ERROR")=0,"Hide","Show")</t>
  </si>
  <si>
    <t>=COUNTIF(V283:AP283,"ERROR")</t>
  </si>
  <si>
    <t>=IF(OR(ABS(V278)&gt;10,ABS(V279)&gt;10,ABS(V280)&gt;10,ABS(V281)&gt;10),"ERROR","")</t>
  </si>
  <si>
    <t>=IF(OR(ABS(X278)&gt;10,ABS(X279)&gt;10,ABS(X280)&gt;10,ABS(X281)&gt;10),"ERROR","")</t>
  </si>
  <si>
    <t>=IF(OR(ABS(Z278)&gt;10,ABS(Z279)&gt;10,ABS(Z280)&gt;10,ABS(Z281)&gt;10),"ERROR","")</t>
  </si>
  <si>
    <t>=IF(OR(ABS(AB278)&gt;10,ABS(AB279)&gt;10,ABS(AB280)&gt;10,ABS(AB281)&gt;10),"ERROR","")</t>
  </si>
  <si>
    <t>=IF(OR(ABS(AD278)&gt;10,ABS(AD279)&gt;10,ABS(AD280)&gt;10,ABS(AD281)&gt;10),"ERROR","")</t>
  </si>
  <si>
    <t>=IF(OR(ABS(AF278)&gt;10,ABS(AF279)&gt;10,ABS(AF280)&gt;10,ABS(AF281)&gt;10),"ERROR","")</t>
  </si>
  <si>
    <t>=IF(OR(ABS(AH278)&gt;10,ABS(AH279)&gt;10,ABS(AH280)&gt;10,ABS(AH281)&gt;10),"ERROR","")</t>
  </si>
  <si>
    <t>=IF(OR(ABS(AN278)&gt;10,ABS(AN279)&gt;10,ABS(AN280)&gt;10,ABS(AN281)&gt;10),"ERROR","")</t>
  </si>
  <si>
    <t>=T270</t>
  </si>
  <si>
    <t>=IF(AD$1="HIDE",0,IF($P286="",0,-NL("SUM","G/L Entry","Amount","G/L Account No.",$P286,"Global Dimension 2 Code",$F$12,"Fund No.",$F$22,"Company=",$D$6,"Posting Date",AD$3,AD$7,AD$8,"Transaction Type",AD$4)))</t>
  </si>
  <si>
    <t>=IF(AF$1="HIDE",0,IF($P286="",0,-NL("SUM","G/L Entry","Amount","G/L Account No.",$P286,"Global Dimension 2 Code",$F$12,"Fund No.",$F$22,"Company=",$D$6,"Posting Date",AF$3,AF$7,AF$8,"Transaction Type",AF$4)))</t>
  </si>
  <si>
    <t>=IF(ISERROR(HLOOKUP(F22,Balance_Sheet!N10:AC11,2)),0,HLOOKUP(F22,Balance_Sheet!N10:AC11,2))</t>
  </si>
  <si>
    <t>=IF(AD$1="HIDE",0,IF($P287="",0,NL("SUM","G/L Entry","Amount","G/L Account No.",$P287,"Global Dimension 2 Code",$F$12,"Fund No.",$F$22,"Company=",$D$6,"Posting Date",AD$3,"Transaction Type",AD$4,AD$7,AD$8)))</t>
  </si>
  <si>
    <t>=IF(AF$1="HIDE",0,IF($P287="",0,NL("SUM","G/L Entry","Amount","G/L Account No.",$P287,"Global Dimension 2 Code",$F$12,"Fund No.",$F$22,"Company=",$D$6,"Posting Date",AF$3,"Transaction Type",AF$4,AF$7,AF$8)))</t>
  </si>
  <si>
    <t>=T287-T286</t>
  </si>
  <si>
    <t>=IF(AD$1="HIDE",0,IF($P288="",0,NL("SUM","G/L Entry","Amount","G/L Account No.",$P288,"Global Dimension 2 Code",$F$12,"Fund No.",$F$22,"Company=",$D$6,"Posting Date",AD$3,"Transaction Type",AD$4,AD$7,AD$8)))</t>
  </si>
  <si>
    <t>=IF(AF$1="HIDE",0,IF($P288="",0,NL("SUM","G/L Entry","Amount","G/L Account No.",$P288,"Global Dimension 2 Code",$F$12,"Fund No.",$F$22,"Company=",$D$6,"Posting Date",AF$3,"Transaction Type",AF$4,AF$7,AF$8)))</t>
  </si>
  <si>
    <t>=ABS(AD286)+ABS(AD287)+ABS(AD288)</t>
  </si>
  <si>
    <t>=ABS(AF286)+ABS(AF287)+ABS(AF288)</t>
  </si>
  <si>
    <t>=B289</t>
  </si>
  <si>
    <t>=B290</t>
  </si>
  <si>
    <t>=B291</t>
  </si>
  <si>
    <t>=-ROUND(NL("SUM","G/L Entry","Amount","G/L Account No.",$P292,"Fund No.",$F$22,"Company=",$D$6,"Transaction Type","ACTUAL","Global Dimension 2 Code",$F$12,"Posting Date",$J$4),0)</t>
  </si>
  <si>
    <t>=IF($X292=0,0,$AB292)</t>
  </si>
  <si>
    <t>=T288</t>
  </si>
  <si>
    <t>=B292</t>
  </si>
  <si>
    <t>=IF($C$9=0,0,ROUND(NL("SUM","G/L Entry","Amount","G/L Account No.",$P293,"Fund No.",$F$22,"Company=",$D$6,"Transaction Type","ACTUAL","Global Dimension 1 Code",$V293,"Global Dimension 2 Code",$F$12,"Posting Date",$J$4),0))</t>
  </si>
  <si>
    <t>=IF($X293=0,0,IF($Z292=0,$AB293,0))</t>
  </si>
  <si>
    <t>=$AB292</t>
  </si>
  <si>
    <t>=B293</t>
  </si>
  <si>
    <t>=IF($C$9=0,0,ROUND(NL("SUM","G/L Entry","Amount","G/L Account No.",$P294,"Fund No.",$F$22,"Company=",$D$6,"Transaction Type","ACTUAL","Global Dimension 1 Code",$V294,"Global Dimension 2 Code",$F$12,"Posting Date",$J$4),0))</t>
  </si>
  <si>
    <t>=IF($X294=0,0,IF(SUM($Z292:$Z293)=0,$AB294,0))</t>
  </si>
  <si>
    <t>=$AB293</t>
  </si>
  <si>
    <t>=B294</t>
  </si>
  <si>
    <t>=IF($C$9=0,0,ROUND(NL("SUM","G/L Entry","Amount","G/L Account No.",$P295,"Fund No.",$F$22,"Company=",$D$6,"Transaction Type","ACTUAL","Global Dimension 1 Code",$V295,"Global Dimension 2 Code",$F$12,"Posting Date",$J$4),0))</t>
  </si>
  <si>
    <t>=IF($X295=0,0,IF(SUM($Z292:$Z294)=0,$AB295,0))</t>
  </si>
  <si>
    <t>=$AB294</t>
  </si>
  <si>
    <t>=B295</t>
  </si>
  <si>
    <t>=P295+1</t>
  </si>
  <si>
    <t>=IF($C$9=0,0,ROUND(NL("SUM","G/L Entry","Amount","G/L Account No.",$P296,"Fund No.",$F$22,"Company=",$D$6,"Transaction Type","ACTUAL","Global Dimension 1 Code",$V296,"Global Dimension 2 Code",$F$12,"Posting Date",$J$4),0))</t>
  </si>
  <si>
    <t>=IF($X296=0,0,IF(SUM($Z292:$Z295)=0,$AB296,0))</t>
  </si>
  <si>
    <t>=$AB295</t>
  </si>
  <si>
    <t>=B296</t>
  </si>
  <si>
    <t>=P296+1</t>
  </si>
  <si>
    <t>=IF($C$9=0,0,ROUND(NL("SUM","G/L Entry","Amount","G/L Account No.",$P297,"Fund No.",$F$22,"Company=",$D$6,"Transaction Type","ACTUAL","Global Dimension 1 Code",$V297,"Global Dimension 2 Code",$F$12,"Posting Date",$J$4),0))</t>
  </si>
  <si>
    <t>=IF($X297=0,0,IF(SUM($Z292:$Z296)=0,$AB297,0))</t>
  </si>
  <si>
    <t>=$AB296</t>
  </si>
  <si>
    <t>=B297</t>
  </si>
  <si>
    <t>=P297+1</t>
  </si>
  <si>
    <t>=IF($C$9=0,0,ROUND(NL("SUM","G/L Entry","Amount","G/L Account No.",$P298,"Fund No.",$F$22,"Company=",$D$6,"Transaction Type","ACTUAL","Global Dimension 1 Code",$V298,"Global Dimension 2 Code",$F$12,"Posting Date",$J$4),0))</t>
  </si>
  <si>
    <t>=IF($X298=0,0,IF(SUM($Z292:$Z297)=0,$AB298,0))</t>
  </si>
  <si>
    <t>=$AB297</t>
  </si>
  <si>
    <t>=B298</t>
  </si>
  <si>
    <t>=IF(SUM($Z292:$Z298)=0,$AB299,0)</t>
  </si>
  <si>
    <t>=$AB298</t>
  </si>
  <si>
    <t>Auto+Hide+Values+Formulas=Sheet5,Sheet13,Sheet14+AutoSheet+FormulasOnly</t>
  </si>
  <si>
    <t>=IF(AQ131=0,"hidesheet","Hide")</t>
  </si>
  <si>
    <t>=IF(AD148=0,"ADOPTED","AMENDED")</t>
  </si>
  <si>
    <t>=IF(AF148=0,"ADOPTED","AMENDED")</t>
  </si>
  <si>
    <t>=IF(R142=0,IF(AND($F$22&gt;"399",$F$22&lt;"500"),"OPERATING REVENUES","REVENUES"),"THIS REPORT HAS AN ERROR, THIS REPORT HAS AN ERROR, THIS REPORT HAS AN ERROR")</t>
  </si>
  <si>
    <t>=IF(OR(AH$1="hide",$P38=""),0,ROUND(-NL("SUM","G/L Entry","Amount","G/L Account No.",$P38,"Fund No.",$F$22,"Global Dimension 2 Code",$F$12,"Company=",$D$6,"Transaction Type",AH$4,"Posting Date",AH$3)+$Z151,0))</t>
  </si>
  <si>
    <t>="363015"</t>
  </si>
  <si>
    <t>=NL("Rows=6","G/L Entry","Global Dimension 2 Code","G/L Account No.",$E$46,"Global Dimension 2 Code",$F$12,"Fund No.",$F$22,"Company=",$D$6,"Posting Date",$J$5)</t>
  </si>
  <si>
    <t>=B51</t>
  </si>
  <si>
    <t>=IF(I47="","9999999",I47)</t>
  </si>
  <si>
    <t>=NL("Rows","Dimension Value","Name","Code","@@"&amp;$I48,"Dimension Code","SUBACCT","Company=",$D$6)</t>
  </si>
  <si>
    <t>=I48</t>
  </si>
  <si>
    <t>=NL("Rows", NL("Union", NL("allunique","G/L Entry",$E$20,$E$20,$E$46,"Fund No.",$F$22,$E$23,$I49,"Company=",$D$6,"Posting Date",$J$5),NL("allunique","G/L Budget Entry",$E$20,$E$20,$E$46,"Fund Code",$F$22,$E$23,$I49,"Company=",$D$6,"Date",$J$6)))</t>
  </si>
  <si>
    <t>=K49 &amp;" "&amp;I49</t>
  </si>
  <si>
    <t>=IF($P49="",0,ROUND(-NL("SUM","G/L Entry","Amount","G/L Account No.",$P49,"Fund No.",$F$22,"Global Dimension 2 Code",$I49,"Company=",$D$6,"Transaction Type",T$4,"Posting Date",T$3),0))</t>
  </si>
  <si>
    <t>=IF(OR(V$1="hide",$P49=""),0,ROUND(-NL("SUM","G/L Entry","Amount","G/L Account No.",$P49,"Fund No.",$F$22,"Global Dimension 2 Code",$I49,"Company=",$D$6,"Transaction Type",V$4,"Posting Date",V$3),0))</t>
  </si>
  <si>
    <t>=IF(OR(X$1="hide",$P49=""),0,ROUND(-NL("SUM","G/L Entry","Amount","G/L Account No.",$P49,"Fund No.",$F$22,"Global Dimension 2 Code",I49,"Company=",$D$6,"Transaction Type",X$4,"Posting Date",X$3),0))</t>
  </si>
  <si>
    <t>=IF(OR(Z$1="hide",$P49=""),0,ROUND(-NL("SUM","G/L Entry","Amount","G/L Account No.",$P49,"Fund No.",$F$22,"Global Dimension 2 Code",$I49,"Company=",$D$6,"Transaction Type",Z$4,"Posting Date",Z$3),0))</t>
  </si>
  <si>
    <t>=IF(OR(AB$1="hide",$P49=""),0,ROUND(-NL("SUM","G/L Entry","Amount","G/L Account No.",$P49,"Fund No.",$F$22,"Global Dimension 2 Code",$I49,"Company=",$D$6,"Transaction Type",AB$4,"Posting Date",AB$3),0))</t>
  </si>
  <si>
    <t>=IF(OR(AD$1="hide",$P49=""),0,ROUND(-NL("SUM","G/L Entry","Amount","G/L Account No.",$P49,"Fund No.",$F$22,"Global Dimension 2 Code",$I49,"Company=",$D$6,"Transaction Type",AD$4,"Posting Date",AD$3),0))</t>
  </si>
  <si>
    <t>=IF(OR(AF$1="hide",$P49=""),0,ROUND(-NL("SUM","G/L Entry","Amount","G/L Account No.",$P49,"Fund No.",$F$22,"Global Dimension 2 Code",$I49,"Company=",$D$6,"Transaction Type",AF$4,"Posting Date",AF$3),0))</t>
  </si>
  <si>
    <t>=IF(OR(AH$1="hide",$P49=""),0,ROUND(-NL("SUM","G/L Entry","Amount","G/L Account No.",$P49,"Fund No.",$F$22,"Global Dimension 2 Code",$I49,"Company=",$D$6,"Transaction Type",AH$4,"Posting Date",AH$3),0))</t>
  </si>
  <si>
    <t>=IF($F$13="yes",0,IF($P49="",0,-ROUND(NL("SUM","G/L Budget Entry","Amount","Fund No.",$F$22,"G/L Account No.",$P49,"Company=",$D$6,"Global Dimension 2 Code",$I49,"Date",$AN$3),0)))</t>
  </si>
  <si>
    <t>=I49</t>
  </si>
  <si>
    <t>=I50</t>
  </si>
  <si>
    <t>=SUM(T48:T50)</t>
  </si>
  <si>
    <t>=SUM(V48:V50)</t>
  </si>
  <si>
    <t>=SUM(X48:X50)</t>
  </si>
  <si>
    <t>=SUM(Z48:Z50)</t>
  </si>
  <si>
    <t>=SUM(AB48:AB50)</t>
  </si>
  <si>
    <t>=SUM(AD48:AD50)</t>
  </si>
  <si>
    <t>=SUM(AF48:AF50)</t>
  </si>
  <si>
    <t>=SUM(AH48:AH50)</t>
  </si>
  <si>
    <t>=SUM(AJ48:AJ50)</t>
  </si>
  <si>
    <t>=SUM(AL48:AL50)</t>
  </si>
  <si>
    <t>=SUM(AN48:AN50)</t>
  </si>
  <si>
    <t>=SUM(AP48:AP50)</t>
  </si>
  <si>
    <t>=I51</t>
  </si>
  <si>
    <t>=SUM(T37:T45)+SUM(AU49:AU53)</t>
  </si>
  <si>
    <t>=SUM(V37:V45)+SUM(AV49:AV53)</t>
  </si>
  <si>
    <t>=SUM(X37:X45)+SUM(AW49:AW53)</t>
  </si>
  <si>
    <t>=SUM(Z37:Z45)+SUM(AX49:AX53)</t>
  </si>
  <si>
    <t>=SUM(AB37:AB45)+SUM(AY49:AY53)</t>
  </si>
  <si>
    <t>=SUM(AD37:AD45)+SUM(AZ49:AZ53)</t>
  </si>
  <si>
    <t>=SUM(AF37:AF45)+SUM(BA49:BA53)</t>
  </si>
  <si>
    <t>=SUM(AH37:AH45)+SUM(BB49:BB53)</t>
  </si>
  <si>
    <t>=SUM(AJ37:AJ45)+SUM(BC49:BC53)</t>
  </si>
  <si>
    <t>=SUM(AL37:AL45)+SUM(BD49:BD53)</t>
  </si>
  <si>
    <t>=SUM(AN37:AN45)+SUM(BE49:BE53)</t>
  </si>
  <si>
    <t>=SUM(AP37:AP45)+SUM(BF49:BF53)</t>
  </si>
  <si>
    <t>=IF(AQ60=0,"Hide","Show")</t>
  </si>
  <si>
    <t>=IF(AQ58=0,"Hide","Show")</t>
  </si>
  <si>
    <t>=NL("Rows", NL("Union", NL("allunique","G/L Entry",$E$20,$E$20,$E56,"Fund No.",$F$22,"Company=",$D$6,"Posting Date",$J$5),NL("allunique","G/L Budget Entry",$E$20,$E$20,$E56,"Fund Code",$F$22,"Company=",$D$6,"Date",$J$6)))</t>
  </si>
  <si>
    <t>=IF(K58="","500000 50000",K58&amp;" "&amp;"50000")</t>
  </si>
  <si>
    <t>=K58</t>
  </si>
  <si>
    <t>=IF($P58="","",(NL("Rows","G/L Account","Name","No.",$P58,"Company=",$D$6)))</t>
  </si>
  <si>
    <t>=IF(OR($F$14="no",$P58=""),0,ROUND(NL("SUM","G/L Entry","Amount","G/L Account No.",$P58,"Fund No.",$F$22,"Global Dimension 2 Code",$F$12,"Company=",$D$6,"Transaction Type",T$4,"Posting Date",T$3),0))</t>
  </si>
  <si>
    <t>=IF(OR(V$1="hide",$F$14="no",$P58=""),0,ROUND(NL("SUM","G/L Entry","Amount","G/L Account No.",$P58,"Fund No.",$F$22,"Global Dimension 2 Code",$F$12,"Company=",$D$6,"Transaction Type",V$4,"Posting Date",V$3),0))</t>
  </si>
  <si>
    <t>=IF(OR(X$1="hide",$F$14="no",$P58=""),0,ROUND(NL("SUM","G/L Entry","Amount","G/L Account No.",$P58,"Fund No.",$F$22,"Global Dimension 2 Code",$F$12,"Company=",$D$6,"Transaction Type",X$4,"Posting Date",X$3),0))</t>
  </si>
  <si>
    <t>=IF(OR(Z$1="hide",$F$14="no",$P58=""),0,ROUND(NL("SUM","G/L Entry","Amount","G/L Account No.",$P58,"Fund No.",$F$22,"Global Dimension 2 Code",$F$12,"Company=",$D$6,"Transaction Type",Z$4,"Posting Date",Z$3),0))</t>
  </si>
  <si>
    <t>=IF(OR(AB$1="hide",$F$14="no",$P58=""),0,ROUND(NL("SUM","G/L Entry","Amount","G/L Account No.",$P58,"Fund No.",$F$22,"Global Dimension 2 Code",$F$12,"Company=",$D$6,"Transaction Type",AB$4,"Posting Date",AB$3),0))</t>
  </si>
  <si>
    <t>=IF(OR(AD$1="hide",$F$14="no",$P58=""),0,ROUND(NL("SUM","G/L Entry","Amount","G/L Account No.",$P58,"Fund No.",$F$22,"Global Dimension 2 Code",$F$12,"Company=",$D$6,"Transaction Type",AD$4,"Posting Date",AD$3),0))</t>
  </si>
  <si>
    <t>=IF(OR(AF$1="hide",$F$14="no",$P58=""),0,ROUND(NL("SUM","G/L Entry","Amount","G/L Account No.",$P58,"Fund No.",$F$22,"Global Dimension 2 Code",$F$12,"Company=",$D$6,"Transaction Type",AF$4,"Posting Date",AF$3),0))</t>
  </si>
  <si>
    <t>=IF(OR(AH$1="hide",$F$14="no",$P58=""),0,SUM(ROUND(NL("SUM","G/L Entry","Amount","G/L Account No.",$P58,"Fund No.",$F$22,"Global Dimension 2 Code",$F$12,"Company=",$D$6,"Transaction Type",AH$4,"Posting Date",AH$3),0),IF($P58="549001",-$AH$72,IF($P58="549900",-$AH$72,0))))</t>
  </si>
  <si>
    <t>=IF(ISERROR(AH58+AJ58),0,(AH58+AJ58))</t>
  </si>
  <si>
    <t>=IF(OR($F$14="no",$F$13="yes"),0,IF($P58="",0,ROUND(NL("SUM","G/L Budget Entry","Amount","Fund No.",$F$22,"G/L Account No.",$P58,"Company=",$D$6,"Global Dimension 2 Code",$F$12,"Date",$AN$3),0)))</t>
  </si>
  <si>
    <t>=IF($F$13="YES",AF58,AN58)</t>
  </si>
  <si>
    <t>=ABS(SUMIF(V58:AP58,"&gt;0")-SUMIF(V58:AP58,"&lt;0"))</t>
  </si>
  <si>
    <t>=SUM(T57:T59)</t>
  </si>
  <si>
    <t>=SUM(V57:V59)</t>
  </si>
  <si>
    <t>=SUM(X57:X59)</t>
  </si>
  <si>
    <t>=SUM(Z57:Z59)</t>
  </si>
  <si>
    <t>=SUM(AB57:AB59)</t>
  </si>
  <si>
    <t>=SUM(AD57:AD59)</t>
  </si>
  <si>
    <t>=SUM(AF57:AF59)</t>
  </si>
  <si>
    <t>=SUM(AH57:AH59)</t>
  </si>
  <si>
    <t>=SUM(AJ57:AJ59)</t>
  </si>
  <si>
    <t>=SUM(AL57:AL59)</t>
  </si>
  <si>
    <t>=SUM(AN57:AN59)</t>
  </si>
  <si>
    <t>=SUM(AP57:AP59)</t>
  </si>
  <si>
    <t>=ABS(SUMIF(V60:AP60,"&gt;0")-SUMIF(V60:AP60,"&lt;0"))</t>
  </si>
  <si>
    <t>=B60</t>
  </si>
  <si>
    <t>=IF(OR(VALUE($F$22)&lt;=399,VALUE($F$22)&gt;499,$F$14="NO"),0,T54-T60)</t>
  </si>
  <si>
    <t>=IF(OR(VALUE($F$22)&lt;=399,VALUE($F$22)&gt;499,$F$14="NO"),0,V54-V60)</t>
  </si>
  <si>
    <t>=IF(OR(VALUE($F$22)&lt;=399,VALUE($F$22)&gt;499,$F$14="NO"),0,X54-X60)</t>
  </si>
  <si>
    <t>=IF(OR(VALUE($F$22)&lt;=399,VALUE($F$22)&gt;499,$F$14="NO"),0,Z54-Z60)</t>
  </si>
  <si>
    <t>=IF(OR(VALUE($F$22)&lt;=399,VALUE($F$22)&gt;499,$F$14="NO"),0,AB54-AB60)</t>
  </si>
  <si>
    <t>=IF(OR(VALUE($F$22)&lt;=399,VALUE($F$22)&gt;499,$F$14="NO"),0,AD54-AD60)</t>
  </si>
  <si>
    <t>=IF(OR(VALUE($F$22)&lt;=399,VALUE($F$22)&gt;499,$F$14="NO"),0,AF54-AF60)</t>
  </si>
  <si>
    <t>=IF(OR(VALUE($F$22)&lt;=399,VALUE($F$22)&gt;499,$F$14="NO"),0,AH54-AH60)</t>
  </si>
  <si>
    <t>=IF(OR(VALUE($F$22)&lt;=399,VALUE($F$22)&gt;499,$F$14="NO"),0,AJ54-AJ60)</t>
  </si>
  <si>
    <t>=IF(OR(VALUE($F$22)&lt;=399,VALUE($F$22)&gt;499,$F$14="NO"),0,AL54-AL60)</t>
  </si>
  <si>
    <t>=IF(OR(VALUE($F$22)&lt;=399,VALUE($F$22)&gt;499,$F$14="NO"),0,AN54-AN60)</t>
  </si>
  <si>
    <t>=IF(OR(VALUE($F$22)&lt;=399,VALUE($F$22)&gt;499,$F$14="NO"),0,AP54-AP60)</t>
  </si>
  <si>
    <t>=ABS(SUMIF(V62:AP62,"&gt;0")-SUMIF(V62:AP62,"&lt;0"))</t>
  </si>
  <si>
    <t>=B62</t>
  </si>
  <si>
    <t>=NL("Rows", NL("Union", NL("allunique","G/L Entry",$E$20,$E$20,$E67,"Fund No.",$F$22,$E$21,$H67,"Company=",$D$6,"Posting Date",$J$5),NL("allunique","G/L Budget Entry",$E$20,$E$20,$E67,"Fund Code",$F$22,$E$21,$H67,"Company=",$D$6,"Date",$J$6)))</t>
  </si>
  <si>
    <t>=IF(K68="","500000 51699",K68&amp;" "&amp;"51699")</t>
  </si>
  <si>
    <t>=IF($P68="",0,ROUND(NL("SUM","G/L Entry","Amount","G/L Account No.",$P68,"Fund No.",$F$22,"Global Dimension 2 Code",$F$12,"Global Dimension 1 Code",$H$67,"Company=",$D$6,"Transaction Type",T$4,"Posting Date",T$3),0))</t>
  </si>
  <si>
    <t>=IF(OR(V$1="hide",$P68=""),0,ROUND(NL("SUM","G/L Entry","Amount","G/L Account No.",$P68,"Fund No.",$F$22,"Global Dimension 2 Code",$F$12,"Global Dimension 1 Code",$H$67,"Company=",$D$6,"Transaction Type",V$4,"Posting Date",V$3),0))</t>
  </si>
  <si>
    <t>=IF(OR(X$1="hide",$P68=""),0,ROUND(NL("SUM","G/L Entry","Amount","G/L Account No.",$P68,"Fund No.",$F$22,"Global Dimension 2 Code",$F$12,"Global Dimension 1 Code",$H$67,"Company=",$D$6,"Transaction Type",X$4,"Posting Date",X$3),0))</t>
  </si>
  <si>
    <t>=IF(OR(Z$1="hide",$P68=""),0,ROUND(NL("SUM","G/L Entry","Amount","G/L Account No.",$P68,"Fund No.",$F$22,"Global Dimension 2 Code",$F$12,"Global Dimension 1 Code",$H$67,"Company=",$D$6,"Transaction Type",Z$4,"Posting Date",Z$3),0))</t>
  </si>
  <si>
    <t>=IF(OR(AB$1="hide",$P68=""),0,ROUND(NL("SUM","G/L Entry","Amount","G/L Account No.",$P68,"Fund No.",$F$22,"Global Dimension 2 Code",$F$12,"Global Dimension 1 Code",$H$67,"Company=",$D$6,"Transaction Type",AB$4,"Posting Date",AB$3),0))</t>
  </si>
  <si>
    <t>=IF(OR(AD$1="hide",$P68=""),0,ROUND(NL("SUM","G/L Entry","Amount","G/L Account No.",$P68,"Fund No.",$F$22,"Global Dimension 2 Code",$F$12,"Global Dimension 1 Code",$H$67,"Company=",$D$6,"Transaction Type",AD$4,"Posting Date",AD$3),0))</t>
  </si>
  <si>
    <t>=IF(OR(AF$1="hide",$P68=""),0,ROUND(NL("SUM","G/L Entry","Amount","G/L Account No.",$P68,"Fund No.",$F$22,"Global Dimension 2 Code",$F$12,"Global Dimension 1 Code",$H$67,"Company=",$D$6,"Transaction Type",AF$4,"Posting Date",AF$3),0))</t>
  </si>
  <si>
    <t>=IF(OR(AH$1="hide",$P68=""),0,SUM(ROUND(NL("SUM","G/L Entry","Amount","G/L Account No.",$P68,"Fund No.",$F$22,"Global Dimension 2 Code",$F$12,"Global Dimension 1 Code",$H$67,"Company=",$D$6,"Transaction Type",AH$4,"Posting Date",AH$3),0),IF($P68="549001",-$AH$72,IF($P68="549900",-$AH$72,0))))</t>
  </si>
  <si>
    <t>=IF($F$13="yes",0,IF($P68="",0,ROUND(NL("SUM","G/L Budget Entry","Amount","Fund No.",$F$22,"G/L Account No.",$P68,"Global Dimension 1 Code",$H$67,"Company=",$D$6,"Global Dimension 2 Code",$F$12,"Date",$AN$3),0)))</t>
  </si>
  <si>
    <t>="Total "&amp;R66</t>
  </si>
  <si>
    <t>=SUM(T68:T69)</t>
  </si>
  <si>
    <t>=SUM(V68:V69)</t>
  </si>
  <si>
    <t>=SUM(X68:X69)</t>
  </si>
  <si>
    <t>=SUM(Z68:Z69)</t>
  </si>
  <si>
    <t>=SUM(AB68:AB69)</t>
  </si>
  <si>
    <t>=SUM(AD68:AD69)</t>
  </si>
  <si>
    <t>=SUM(AF68:AF69)</t>
  </si>
  <si>
    <t>=SUM(AH68:AH69)</t>
  </si>
  <si>
    <t>=SUM(AJ68:AJ69)</t>
  </si>
  <si>
    <t>=SUM(AL68:AL69)</t>
  </si>
  <si>
    <t>=SUM(AN68:AN69)</t>
  </si>
  <si>
    <t>=SUM(AP68:AP69)</t>
  </si>
  <si>
    <t>=$Z$152+$Z$153</t>
  </si>
  <si>
    <t>=NL("Rows=6", NL("Union", NL("allunique","G/L Entry",$E$21,$E$20,$E$72,$E$21,$H$72,"Fund No.",F$22,"Company=",$D$6,"Posting Date",$J$5),NL("allunique","G/L Budget Entry",$E$21,$E$20,$E$72,$E$21,$H$72,"Fund Code",F$22,"Company=",$D$6,"Date",$J$6)))</t>
  </si>
  <si>
    <t>=I74</t>
  </si>
  <si>
    <t>=IF($I75="","",(NL("Rows","Dimension Value","Name","Dimension Code",$H74,"Code",$I75,"Company=",$D$6)))</t>
  </si>
  <si>
    <t>=IF(AQ76=0,"Hide","Show")</t>
  </si>
  <si>
    <t>=I75</t>
  </si>
  <si>
    <t>=NL("Rows", NL("Union", NL("allunique","G/L Entry",$E$20,$E$20,$E$72,$E$22,$F$22,$E$21,"@@"&amp;I76,"Company=",$D$6,"Posting Date",$J$5),NL("allunique","G/L Budget Entry",$E$20,$E$20,$E$72,$E$24,$F$22,$E$21,"@@"&amp;I76,"Company=",$D$6,"Date",$J$6)))</t>
  </si>
  <si>
    <t>=IF(I76="","500000 51800",K76&amp;" "&amp;I76)</t>
  </si>
  <si>
    <t>=K76</t>
  </si>
  <si>
    <t>=IF($P76="","",NL("Rows","G/L Account","Name","No.",$P76,"Company=",$D$6))</t>
  </si>
  <si>
    <t>=IF($P76="",0,ROUND(NL("SUM","G/L Entry","Amount","G/L Account No.",$P76,"Fund No.",$F$22,"Global Dimension 2 Code",$F$12,"Global Dimension 1 Code","@@"&amp;$I76,"Company=",$D$6,"Transaction Type",T$4,"Posting Date",T$3),0))</t>
  </si>
  <si>
    <t>=IF(OR(V$1="hide",$P76=""),0,ROUND(NL("SUM","G/L Entry","Amount","G/L Account No.",$P76,"Fund No.",$F$22,"Global Dimension 2 Code",$F$12,"Global Dimension 1 Code","@@"&amp;$I76,"Company=",$D$6,"Transaction Type",V$4,"Posting Date",V$3),0))</t>
  </si>
  <si>
    <t>=IF(OR(X$1="hide",$P76=""),0,ROUND(NL("SUM","G/L Entry","Amount","G/L Account No.",$P76,"Fund No.",$F$22,"Global Dimension 2 Code",$F$12,"Global Dimension 1 Code","@@"&amp;$I76,"Company=",$D$6,"Transaction Type",X$4,"Posting Date",X$3),0))</t>
  </si>
  <si>
    <t>=IF(OR(Z$1="hide",$P76=""),0,ROUND(NL("SUM","G/L Entry","Amount","G/L Account No.",$P76,"Fund No.",$F$22,"Global Dimension 2 Code",$F$12,"Global Dimension 1 Code","@@"&amp;$I76,"Company=",$D$6,"Transaction Type",Z$4,"Posting Date",Z$3),0))</t>
  </si>
  <si>
    <t>=IF(OR(AB$1="hide",$P76=""),0,ROUND(NL("SUM","G/L Entry","Amount","G/L Account No.",$P76,"Fund No.",$F$22,"Global Dimension 2 Code",$F$12,"Global Dimension 1 Code","@@"&amp;$I76,"Company=",$D$6,"Transaction Type",AB$4,"Posting Date",AB$3),0))</t>
  </si>
  <si>
    <t>=IF(OR(AD$1="hide",$P76=""),0,ROUND(NL("SUM","G/L Entry","Amount","G/L Account No.",$P76,"Fund No.",$F$22,"Global Dimension 2 Code",$F$12,"Global Dimension 1 Code","@@"&amp;$I76,"Company=",$D$6,"Transaction Type",AD$4,"Posting Date",AD$3),0))</t>
  </si>
  <si>
    <t>=IF(OR(AF$1="hide",$P76=""),0,ROUND(NL("SUM","G/L Entry","Amount","G/L Account No.",$P76,"Fund No.",$F$22,"Global Dimension 2 Code",$F$12,"Global Dimension 1 Code","@@"&amp;$I76,"Company=",$D$6,"Transaction Type",AF$4,"Posting Date",AF$3),0))</t>
  </si>
  <si>
    <t>=IF(OR(AH$1="hide",$P76=""),0,(ROUND(NL("SUM","G/L Entry","Amount","G/L Account No.",$P76,"Fund No.",$F$22,"Global Dimension 2 Code",$F$12,"Global Dimension 1 Code","@@"&amp;$I76,"Company=",$D$6,"Transaction Type",AH$4,"Posting Date",AH$3),0)))</t>
  </si>
  <si>
    <t>=IF(ISERROR(AH76+AJ76),0,(AH76+AJ76))</t>
  </si>
  <si>
    <t>=IF($F$13="yes",0,IF($P76="",0,ROUND(NL("SUM","G/L Budget Entry","Amount","Fund No.",$F$22,"G/L Account No.",$P76,"Company=",$D$6,"Global Dimension 1 Code","@@"&amp;$I76,"Global Dimension 2 Code",$F$12,"Date",$AN$3),0)))</t>
  </si>
  <si>
    <t>=IF($F$13="YES",AF76,AN76)</t>
  </si>
  <si>
    <t>=ABS(SUMIF(V76:AP76,"&gt;0")-SUMIF(V76:AP76,"&lt;0"))</t>
  </si>
  <si>
    <t>=I76</t>
  </si>
  <si>
    <t>=I77</t>
  </si>
  <si>
    <t>="Total " &amp;($R75)</t>
  </si>
  <si>
    <t>=SUM(T76:T77)</t>
  </si>
  <si>
    <t>=SUM(V76:V77)</t>
  </si>
  <si>
    <t>=SUM(X76:X77)</t>
  </si>
  <si>
    <t>=SUM(Z76:Z77)</t>
  </si>
  <si>
    <t>=SUM(AB76:AB77)</t>
  </si>
  <si>
    <t>=SUM(AD76:AD77)</t>
  </si>
  <si>
    <t>=SUM(AF76:AF77)</t>
  </si>
  <si>
    <t>=SUM(AH76:AH77)</t>
  </si>
  <si>
    <t>=SUM(AJ76:AJ77)</t>
  </si>
  <si>
    <t>=SUM(AL76:AL77)</t>
  </si>
  <si>
    <t>=SUM(AN76:AN77)</t>
  </si>
  <si>
    <t>=SUM(AP76:AP77)</t>
  </si>
  <si>
    <t>=SUM(T75:T77)</t>
  </si>
  <si>
    <t>=SUM(V75:V77)</t>
  </si>
  <si>
    <t>=SUM(X75:X77)</t>
  </si>
  <si>
    <t>=SUM(Z75:Z77)</t>
  </si>
  <si>
    <t>=SUM(AB75:AB77)</t>
  </si>
  <si>
    <t>=SUM(AD75:AD77)</t>
  </si>
  <si>
    <t>=SUM(AF75:AF77)</t>
  </si>
  <si>
    <t>=SUM(AH75:AH77)</t>
  </si>
  <si>
    <t>=SUM(AJ75:AJ77)</t>
  </si>
  <si>
    <t>=SUM(AL75:AL77)</t>
  </si>
  <si>
    <t>=SUM(AN75:AN77)</t>
  </si>
  <si>
    <t>=SUM(AP75:AP77)</t>
  </si>
  <si>
    <t>=B78</t>
  </si>
  <si>
    <t>=I78</t>
  </si>
  <si>
    <t>=SUM(AU77:AU80)</t>
  </si>
  <si>
    <t>=SUM(AV77:AV80)</t>
  </si>
  <si>
    <t>=SUM(AW77:AW80)</t>
  </si>
  <si>
    <t>=SUM(AX77:AX80)</t>
  </si>
  <si>
    <t>=SUM(AY77:AY80)</t>
  </si>
  <si>
    <t>=SUM(AZ77:AZ80)</t>
  </si>
  <si>
    <t>=SUM(BA77:BA80)</t>
  </si>
  <si>
    <t>=SUM(BB77:BB80)</t>
  </si>
  <si>
    <t>=SUM(BC77:BC80)</t>
  </si>
  <si>
    <t>=SUM(BD77:BD80)</t>
  </si>
  <si>
    <t>=SUM(BE77:BE80)</t>
  </si>
  <si>
    <t>=SUM(BF77:BF80)</t>
  </si>
  <si>
    <t>=$Z$154+$Z$155+$Z$156+$Z$157</t>
  </si>
  <si>
    <t>=NL("Rows", NL("Union", NL("allunique","G/L Entry",$E$20,$E$20,$E$82,"Fund No.",$F$22,"Company=",$D$6,"Posting Date",$J$5),NL("allunique","G/L Budget Entry",$E$20,$E$20,$E$82,"Fund Code",$F$22,"Company=",$D$6,"Date",$J$6)))</t>
  </si>
  <si>
    <t>=IF(K84="","565999",K84)</t>
  </si>
  <si>
    <t>=IF($P84="",0,ROUND(NL("SUM","G/L Entry","Amount","G/L Account No.",$P84,"Fund No.",$F$22,"Global Dimension 2 Code",$F$12,"Company=",$D$6,"Transaction Type",T$4,"Posting Date",T$3),0))</t>
  </si>
  <si>
    <t>=IF(OR(V$1="hide",$P84=""),0,ROUND(NL("SUM","G/L Entry","Amount","G/L Account No.",$P84,"Fund No.",$F$22,"Global Dimension 2 Code",$F$12,"Company=",$D$6,"Transaction Type",V$4,"Posting Date",V$3),0))</t>
  </si>
  <si>
    <t>=IF(OR(X$1="hide",$P84=""),0,ROUND(NL("SUM","G/L Entry","Amount","G/L Account No.",$P84,"Fund No.",$F$22,"Global Dimension 2 Code",$F$12,"Company=",$D$6,"Transaction Type",X$4,"Posting Date",X$3),0))</t>
  </si>
  <si>
    <t>=IF(OR(Z$1="hide",$P84=""),0,ROUND(NL("SUM","G/L Entry","Amount","G/L Account No.",$P84,"Fund No.",$F$22,"Global Dimension 2 Code",$F$12,"Company=",$D$6,"Transaction Type",Z$4,"Posting Date",Z$3),0))</t>
  </si>
  <si>
    <t>=IF(OR(AB$1="hide",$P84=""),0,ROUND(NL("SUM","G/L Entry","Amount","G/L Account No.",$P84,"Fund No.",$F$22,"Global Dimension 2 Code",$F$12,"Company=",$D$6,"Transaction Type",AB$4,"Posting Date",AB$3),0))</t>
  </si>
  <si>
    <t>=IF(OR(AD$1="hide",$P84=""),0,ROUND(NL("SUM","G/L Entry","Amount","G/L Account No.",$P84,"Fund No.",$F$22,"Global Dimension 2 Code",$F$12,"Company=",$D$6,"Transaction Type",AD$4,"Posting Date",AD$3),0))</t>
  </si>
  <si>
    <t>=IF(OR(AF$1="hide",$P84=""),0,ROUND(NL("SUM","G/L Entry","Amount","G/L Account No.",$P84,"Fund No.",$F$22,"Global Dimension 2 Code",$F$12,"Company=",$D$6,"Transaction Type",AF$4,"Posting Date",AF$3),0))</t>
  </si>
  <si>
    <t>=IF(OR(AH$1="hide",$P84=""),0,SUM(ROUND(NL("SUM","G/L Entry","Amount","G/L Account No.",$P84,"Fund No.",$F$22,"Global Dimension 2 Code",$F$12,"Company=",$D$6,"Transaction Type",AH$4,"Posting Date",AH$3),0),IF($P84="565001",-$AH$82,IF($P84="565002",-$AH$82,IF($P84="565003",-$AH$82,IF($P84="565004",-$AH$82,0))))))</t>
  </si>
  <si>
    <t>=IF($F$13="yes",0,IF($P84="",0,ROUND(NL("SUM","G/L Budget Entry","Amount","Fund No.",$F$22,"G/L Account No.",$P84,"Company=",$D$6,"Global Dimension 2 Code",$F$12,"Date",$AN$3),0)))</t>
  </si>
  <si>
    <t>=NL("Rows", NL("Union", NL("allunique","G/L Entry",$E$20,$E$20,$E$87,"Fund No.",$F$22,$E$21,$H$87,"Company=",$D$6,"Posting Date",$J$5),NL("allunique","G/L Budget Entry",$E$20,$E$20,$E$87,"Fund Code",$F$22,$E$21,$H$87,"Company=",$D$6,"Date",$J$6)))</t>
  </si>
  <si>
    <t>=IF(K89="","500000 51799",K89&amp;" "&amp;"51799")</t>
  </si>
  <si>
    <t>=IF($P89="","",NL("Rows","G/L Account","Name","No.",$P89,"Company=",$D$6))</t>
  </si>
  <si>
    <t>=IF($P89="",0,ROUND(NL("SUM","G/L Entry","Amount","G/L Account No.",$P89,"Fund No.",$F$22,"Global Dimension 2 Code",$F$12,"Global Dimension 1 Code",$H$87,"Company=",$D$6,"Transaction Type",T$4,"Posting Date",T$3),0))</t>
  </si>
  <si>
    <t>=IF(OR(V$1="hide",$P89=""),0,ROUND(NL("SUM","G/L Entry","Amount","G/L Account No.",$P89,"Fund No.",$F$22,"Global Dimension 2 Code",$F$12,"Global Dimension 1 Code",$H$87,"Company=",$D$6,"Transaction Type",V$4,"Posting Date",V$3),0))</t>
  </si>
  <si>
    <t>=IF(OR(X$1="hide",$P89=""),0,ROUND(NL("SUM","G/L Entry","Amount","G/L Account No.",$P89,"Fund No.",$F$22,"Global Dimension 2 Code",$F$12,"Global Dimension 1 Code",$H$87,"Company=",$D$6,"Transaction Type",X$4,"Posting Date",X$3),0))</t>
  </si>
  <si>
    <t>=IF(OR(Z$1="hide",$P89=""),0,ROUND(NL("SUM","G/L Entry","Amount","G/L Account No.",$P89,"Fund No.",$F$22,"Global Dimension 2 Code",$F$12,"Global Dimension 1 Code",$H$87,"Company=",$D$6,"Transaction Type",Z$4,"Posting Date",Z$3),0))</t>
  </si>
  <si>
    <t>=IF(OR(AB$1="hide",$P89=""),0,ROUND(NL("SUM","G/L Entry","Amount","G/L Account No.",$P89,"Fund No.",$F$22,"Global Dimension 2 Code",$F$12,"Global Dimension 1 Code",$H$87,"Company=",$D$6,"Transaction Type",AB$4,"Posting Date",AB$3),0))</t>
  </si>
  <si>
    <t>=IF(OR(AD$1="hide",$P89=""),0,ROUND(NL("SUM","G/L Entry","Amount","G/L Account No.",$P89,"Fund No.",$F$22,"Global Dimension 2 Code",$F$12,"Global Dimension 1 Code",$H$87,"Company=",$D$6,"Transaction Type",AD$4,"Posting Date",AD$3),0))</t>
  </si>
  <si>
    <t>=IF(OR(AF$1="hide",$P89=""),0,ROUND(NL("SUM","G/L Entry","Amount","G/L Account No.",$P89,"Fund No.",$F$22,"Global Dimension 2 Code",$F$12,"Global Dimension 1 Code",$H$87,"Company=",$D$6,"Transaction Type",AF$4,"Posting Date",AF$3),0))</t>
  </si>
  <si>
    <t>=IF(OR(AH$1="hide",$P89=""),0,ROUND(NL("SUM","G/L Entry","Amount","G/L Account No.",$P89,"Fund No.",$F$22,"Global Dimension 2 Code",$F$12,"Global Dimension 1 Code",$H$87,"Company=",$D$6,"Transaction Type",AH$4,"Posting Date",AH$3),0))</t>
  </si>
  <si>
    <t>=IF($F$13="yes",0,IF($P89="",0,ROUND(NL("SUM","G/L Budget Entry","Amount","Fund No.",$F$22,"G/L Account No.",$P89,"Company=",$D$6,"Global Dimension 1 Code",$H$87,"Global Dimension 2 Code",$F$12,"Date",$AN$3),0)))</t>
  </si>
  <si>
    <t>="571006"</t>
  </si>
  <si>
    <t>=IF(K90="","500000 51799",K90&amp;" "&amp;"51799")</t>
  </si>
  <si>
    <t>=IF($P90="","",NL("Rows","G/L Account","Name","No.",$P90,"Company=",$D$6))</t>
  </si>
  <si>
    <t>=IF($P90="",0,ROUND(NL("SUM","G/L Entry","Amount","G/L Account No.",$P90,"Fund No.",$F$22,"Global Dimension 2 Code",$F$12,"Global Dimension 1 Code",$H$87,"Company=",$D$6,"Transaction Type",T$4,"Posting Date",T$3),0))</t>
  </si>
  <si>
    <t>=IF(OR(V$1="hide",$P90=""),0,ROUND(NL("SUM","G/L Entry","Amount","G/L Account No.",$P90,"Fund No.",$F$22,"Global Dimension 2 Code",$F$12,"Global Dimension 1 Code",$H$87,"Company=",$D$6,"Transaction Type",V$4,"Posting Date",V$3),0))</t>
  </si>
  <si>
    <t>=IF(OR(X$1="hide",$P90=""),0,ROUND(NL("SUM","G/L Entry","Amount","G/L Account No.",$P90,"Fund No.",$F$22,"Global Dimension 2 Code",$F$12,"Global Dimension 1 Code",$H$87,"Company=",$D$6,"Transaction Type",X$4,"Posting Date",X$3),0))</t>
  </si>
  <si>
    <t>=IF(OR(Z$1="hide",$P90=""),0,ROUND(NL("SUM","G/L Entry","Amount","G/L Account No.",$P90,"Fund No.",$F$22,"Global Dimension 2 Code",$F$12,"Global Dimension 1 Code",$H$87,"Company=",$D$6,"Transaction Type",Z$4,"Posting Date",Z$3),0))</t>
  </si>
  <si>
    <t>=IF(OR(AB$1="hide",$P90=""),0,ROUND(NL("SUM","G/L Entry","Amount","G/L Account No.",$P90,"Fund No.",$F$22,"Global Dimension 2 Code",$F$12,"Global Dimension 1 Code",$H$87,"Company=",$D$6,"Transaction Type",AB$4,"Posting Date",AB$3),0))</t>
  </si>
  <si>
    <t>=IF(OR(AD$1="hide",$P90=""),0,ROUND(NL("SUM","G/L Entry","Amount","G/L Account No.",$P90,"Fund No.",$F$22,"Global Dimension 2 Code",$F$12,"Global Dimension 1 Code",$H$87,"Company=",$D$6,"Transaction Type",AD$4,"Posting Date",AD$3),0))</t>
  </si>
  <si>
    <t>=IF(OR(AF$1="hide",$P90=""),0,ROUND(NL("SUM","G/L Entry","Amount","G/L Account No.",$P90,"Fund No.",$F$22,"Global Dimension 2 Code",$F$12,"Global Dimension 1 Code",$H$87,"Company=",$D$6,"Transaction Type",AF$4,"Posting Date",AF$3),0))</t>
  </si>
  <si>
    <t>=IF(OR(AH$1="hide",$P90=""),0,ROUND(NL("SUM","G/L Entry","Amount","G/L Account No.",$P90,"Fund No.",$F$22,"Global Dimension 2 Code",$F$12,"Global Dimension 1 Code",$H$87,"Company=",$D$6,"Transaction Type",AH$4,"Posting Date",AH$3),0))</t>
  </si>
  <si>
    <t>=IF($F$13="yes",0,IF($P90="",0,ROUND(NL("SUM","G/L Budget Entry","Amount","Fund No.",$F$22,"G/L Account No.",$P90,"Company=",$D$6,"Global Dimension 1 Code",$H$87,"Global Dimension 2 Code",$F$12,"Date",$AN$3),0)))</t>
  </si>
  <si>
    <t>="572001"</t>
  </si>
  <si>
    <t>=IF(K91="","500000 51799",K91&amp;" "&amp;"51799")</t>
  </si>
  <si>
    <t>=IF($P91="",0,ROUND(NL("SUM","G/L Entry","Amount","G/L Account No.",$P91,"Fund No.",$F$22,"Global Dimension 2 Code",$F$12,"Global Dimension 1 Code",$H$87,"Company=",$D$6,"Transaction Type",T$4,"Posting Date",T$3),0))</t>
  </si>
  <si>
    <t>=IF(OR(V$1="hide",$P91=""),0,ROUND(NL("SUM","G/L Entry","Amount","G/L Account No.",$P91,"Fund No.",$F$22,"Global Dimension 2 Code",$F$12,"Global Dimension 1 Code",$H$87,"Company=",$D$6,"Transaction Type",V$4,"Posting Date",V$3),0))</t>
  </si>
  <si>
    <t>=IF(OR(X$1="hide",$P91=""),0,ROUND(NL("SUM","G/L Entry","Amount","G/L Account No.",$P91,"Fund No.",$F$22,"Global Dimension 2 Code",$F$12,"Global Dimension 1 Code",$H$87,"Company=",$D$6,"Transaction Type",X$4,"Posting Date",X$3),0))</t>
  </si>
  <si>
    <t>=IF(OR(Z$1="hide",$P91=""),0,ROUND(NL("SUM","G/L Entry","Amount","G/L Account No.",$P91,"Fund No.",$F$22,"Global Dimension 2 Code",$F$12,"Global Dimension 1 Code",$H$87,"Company=",$D$6,"Transaction Type",Z$4,"Posting Date",Z$3),0))</t>
  </si>
  <si>
    <t>=IF(OR(AB$1="hide",$P91=""),0,ROUND(NL("SUM","G/L Entry","Amount","G/L Account No.",$P91,"Fund No.",$F$22,"Global Dimension 2 Code",$F$12,"Global Dimension 1 Code",$H$87,"Company=",$D$6,"Transaction Type",AB$4,"Posting Date",AB$3),0))</t>
  </si>
  <si>
    <t>=IF(OR(AD$1="hide",$P91=""),0,ROUND(NL("SUM","G/L Entry","Amount","G/L Account No.",$P91,"Fund No.",$F$22,"Global Dimension 2 Code",$F$12,"Global Dimension 1 Code",$H$87,"Company=",$D$6,"Transaction Type",AD$4,"Posting Date",AD$3),0))</t>
  </si>
  <si>
    <t>=IF(OR(AF$1="hide",$P91=""),0,ROUND(NL("SUM","G/L Entry","Amount","G/L Account No.",$P91,"Fund No.",$F$22,"Global Dimension 2 Code",$F$12,"Global Dimension 1 Code",$H$87,"Company=",$D$6,"Transaction Type",AF$4,"Posting Date",AF$3),0))</t>
  </si>
  <si>
    <t>=IF(OR(AH$1="hide",$P91=""),0,ROUND(NL("SUM","G/L Entry","Amount","G/L Account No.",$P91,"Fund No.",$F$22,"Global Dimension 2 Code",$F$12,"Global Dimension 1 Code",$H$87,"Company=",$D$6,"Transaction Type",AH$4,"Posting Date",AH$3),0))</t>
  </si>
  <si>
    <t>=IF($F$13="yes",0,IF($P91="",0,ROUND(NL("SUM","G/L Budget Entry","Amount","Fund No.",$F$22,"G/L Account No.",$P91,"Company=",$D$6,"Global Dimension 1 Code",$H$87,"Global Dimension 2 Code",$F$12,"Date",$AN$3),0)))</t>
  </si>
  <si>
    <t>="573001"</t>
  </si>
  <si>
    <t>=IF(K92="","500000 51799",K92&amp;" "&amp;"51799")</t>
  </si>
  <si>
    <t>=IF($P92="","",NL("Rows","G/L Account","Name","No.",$P92,"Company=",$D$6))</t>
  </si>
  <si>
    <t>=IF($P92="",0,ROUND(NL("SUM","G/L Entry","Amount","G/L Account No.",$P92,"Fund No.",$F$22,"Global Dimension 2 Code",$F$12,"Global Dimension 1 Code",$H$87,"Company=",$D$6,"Transaction Type",T$4,"Posting Date",T$3),0))</t>
  </si>
  <si>
    <t>=IF(OR(V$1="hide",$P92=""),0,ROUND(NL("SUM","G/L Entry","Amount","G/L Account No.",$P92,"Fund No.",$F$22,"Global Dimension 2 Code",$F$12,"Global Dimension 1 Code",$H$87,"Company=",$D$6,"Transaction Type",V$4,"Posting Date",V$3),0))</t>
  </si>
  <si>
    <t>=IF(OR(X$1="hide",$P92=""),0,ROUND(NL("SUM","G/L Entry","Amount","G/L Account No.",$P92,"Fund No.",$F$22,"Global Dimension 2 Code",$F$12,"Global Dimension 1 Code",$H$87,"Company=",$D$6,"Transaction Type",X$4,"Posting Date",X$3),0))</t>
  </si>
  <si>
    <t>=IF(OR(Z$1="hide",$P92=""),0,ROUND(NL("SUM","G/L Entry","Amount","G/L Account No.",$P92,"Fund No.",$F$22,"Global Dimension 2 Code",$F$12,"Global Dimension 1 Code",$H$87,"Company=",$D$6,"Transaction Type",Z$4,"Posting Date",Z$3),0))</t>
  </si>
  <si>
    <t>=IF(OR(AB$1="hide",$P92=""),0,ROUND(NL("SUM","G/L Entry","Amount","G/L Account No.",$P92,"Fund No.",$F$22,"Global Dimension 2 Code",$F$12,"Global Dimension 1 Code",$H$87,"Company=",$D$6,"Transaction Type",AB$4,"Posting Date",AB$3),0))</t>
  </si>
  <si>
    <t>=IF(OR(AD$1="hide",$P92=""),0,ROUND(NL("SUM","G/L Entry","Amount","G/L Account No.",$P92,"Fund No.",$F$22,"Global Dimension 2 Code",$F$12,"Global Dimension 1 Code",$H$87,"Company=",$D$6,"Transaction Type",AD$4,"Posting Date",AD$3),0))</t>
  </si>
  <si>
    <t>=IF(OR(AF$1="hide",$P92=""),0,ROUND(NL("SUM","G/L Entry","Amount","G/L Account No.",$P92,"Fund No.",$F$22,"Global Dimension 2 Code",$F$12,"Global Dimension 1 Code",$H$87,"Company=",$D$6,"Transaction Type",AF$4,"Posting Date",AF$3),0))</t>
  </si>
  <si>
    <t>=IF(OR(AH$1="hide",$P92=""),0,ROUND(NL("SUM","G/L Entry","Amount","G/L Account No.",$P92,"Fund No.",$F$22,"Global Dimension 2 Code",$F$12,"Global Dimension 1 Code",$H$87,"Company=",$D$6,"Transaction Type",AH$4,"Posting Date",AH$3),0))</t>
  </si>
  <si>
    <t>=IF($F$13="yes",0,IF($P92="",0,ROUND(NL("SUM","G/L Budget Entry","Amount","Fund No.",$F$22,"G/L Account No.",$P92,"Company=",$D$6,"Global Dimension 1 Code",$H$87,"Global Dimension 2 Code",$F$12,"Date",$AN$3),0)))</t>
  </si>
  <si>
    <t>=SUM(T89:T93)</t>
  </si>
  <si>
    <t>=SUM(V89:V93)</t>
  </si>
  <si>
    <t>=SUM(X89:X93)</t>
  </si>
  <si>
    <t>=SUM(Z89:Z93)</t>
  </si>
  <si>
    <t>=SUM(AB89:AB93)</t>
  </si>
  <si>
    <t>=SUM(AD89:AD93)</t>
  </si>
  <si>
    <t>=SUM(AF89:AF93)</t>
  </si>
  <si>
    <t>=SUM(AH89:AH93)</t>
  </si>
  <si>
    <t>=SUM(AJ89:AJ93)</t>
  </si>
  <si>
    <t>=SUM(AL89:AL93)</t>
  </si>
  <si>
    <t>=SUM(AN89:AN93)</t>
  </si>
  <si>
    <t>=SUM(AP89:AP93)</t>
  </si>
  <si>
    <t>=B94</t>
  </si>
  <si>
    <t>=IF($F$6="no",0,SUM(T94+T86+T81+T70))</t>
  </si>
  <si>
    <t>=IF($F$6="no",0,SUM(V94+V86+V81+V70))</t>
  </si>
  <si>
    <t>=IF($F$6="no",0,SUM(X94+X86+X81+X70))</t>
  </si>
  <si>
    <t>=IF($F$6="no",0,SUM(Z94+Z86+Z81+Z70))</t>
  </si>
  <si>
    <t>=IF($F$6="no",0,SUM(AB94+AB86+AB81+AB70))</t>
  </si>
  <si>
    <t>=IF($F$6="no",0,SUM(AD94+AD86+AD81+AD70))</t>
  </si>
  <si>
    <t>=IF($F$6="no",0,SUM(AF94+AF86+AF81+AF70))</t>
  </si>
  <si>
    <t>=IF($F$6="no",0,SUM(AH94+AH86+AH81+AH70))</t>
  </si>
  <si>
    <t>=IF($F$6="no",0,SUM(AJ94+AJ86+AJ81+AJ70))</t>
  </si>
  <si>
    <t>=IF($F$6="no",0,SUM(AL94+AL86+AL81+AL70))</t>
  </si>
  <si>
    <t>=IF($F$6="no",0,SUM(AN94+AN86+AN81+AN70))</t>
  </si>
  <si>
    <t>=IF($F$6="no",0,SUM(AP94+AP86+AP81+AP70))</t>
  </si>
  <si>
    <t>=B96</t>
  </si>
  <si>
    <t>=NL("Rows", NL("Union", NL("allunique","G/L Entry",$E$20,$E$20,$E$97,"Fund No.",$F$22,$E$21,$H$97,"Company=",$D$6,"Posting Date",$J$5),NL("allunique","G/L Budget Entry",$E$20,$E$20,$E$97,"Fund Code",$F$22,$E$21,$H$97,"Company=",$D$6,"Date",$J$6)))</t>
  </si>
  <si>
    <t>=IF(K99="","500000 58100",K99&amp;" "&amp;"58100")</t>
  </si>
  <si>
    <t>=IF($P99="","",NL("Rows","G/L Account","Name","No.",$P99,"Company=",$D$6))</t>
  </si>
  <si>
    <t>=IF($P99="",0,ROUND(NL("SUM","G/L Entry","Amount","G/L Account No.",$P99,"Fund No.",$F$22,"Global Dimension 2 Code",$F$12,"Global Dimension 1 Code",$H$97,"Company=",$D$6,"Transaction Type",T$4,"Posting Date",T$3),0))</t>
  </si>
  <si>
    <t>=IF(OR(V$1="hide",$P99=""),0,ROUND(NL("SUM","G/L Entry","Amount","G/L Account No.",$P99,"Fund No.",$F$22,"Global Dimension 2 Code",$F$12,"Global Dimension 1 Code",$H$97,"Company=",$D$6,"Transaction Type",V$4,"Posting Date",V$3),0))</t>
  </si>
  <si>
    <t>=IF(OR(X$1="hide",$P99=""),0,ROUND(NL("SUM","G/L Entry","Amount","G/L Account No.",$P99,"Fund No.",$F$22,"Global Dimension 2 Code",$F$12,"Global Dimension 1 Code",$H$97,"Company=",$D$6,"Transaction Type",X$4,"Posting Date",X$3),0))</t>
  </si>
  <si>
    <t>=IF(OR(Z$1="hide",$P99=""),0,ROUND(NL("SUM","G/L Entry","Amount","G/L Account No.",$P99,"Fund No.",$F$22,"Global Dimension 2 Code",$F$12,"Global Dimension 1 Code",$H$97,"Company=",$D$6,"Transaction Type",Z$4,"Posting Date",Z$3),0))</t>
  </si>
  <si>
    <t>=IF(OR(AB$1="hide",$P99=""),0,ROUND(NL("SUM","G/L Entry","Amount","G/L Account No.",$P99,"Fund No.",$F$22,"Global Dimension 2 Code",$F$12,"Global Dimension 1 Code",$H$97,"Company=",$D$6,"Transaction Type",AB$4,"Posting Date",AB$3),0))</t>
  </si>
  <si>
    <t>=IF(OR(AD$1="hide",$P99=""),0,ROUND(NL("SUM","G/L Entry","Amount","G/L Account No.",$P99,"Fund No.",$F$22,"Global Dimension 2 Code",$F$12,"Global Dimension 1 Code",$H$97,"Company=",$D$6,"Transaction Type",AD$4,"Posting Date",AD$3),0))</t>
  </si>
  <si>
    <t>=IF(OR(AF$1="hide",$P99=""),0,ROUND(NL("SUM","G/L Entry","Amount","G/L Account No.",$P99,"Fund No.",$F$22,"Global Dimension 2 Code",$F$12,"Global Dimension 1 Code",$H$97,"Company=",$D$6,"Transaction Type",AF$4,"Posting Date",AF$3),0))</t>
  </si>
  <si>
    <t>=IF(OR(AH$1="hide",$P99=""),0,ROUND(NL("SUM","G/L Entry","Amount","G/L Account No.",$P99,"Fund No.",$F$22,"Global Dimension 2 Code",$F$12,"Global Dimension 1 Code",$H$97,"Company=",$D$6,"Transaction Type",AH$4,"Posting Date",AH$3),0))</t>
  </si>
  <si>
    <t>=IF($F$13="yes",0,IF($P99="",0,ROUND(NL("SUM","G/L Budget Entry","Amount","Fund No.",$F$22,"G/L Account No.",$P99,"Company=",$D$6,"Global Dimension 1 Code",$H$97,"Global Dimension 2 Code",$F$12,"Date",$AN$3),0)))</t>
  </si>
  <si>
    <t>=SUM(T99:T100)</t>
  </si>
  <si>
    <t>=SUM(V99:V100)</t>
  </si>
  <si>
    <t>=SUM(X99:X100)</t>
  </si>
  <si>
    <t>=SUM(Z99:Z100)</t>
  </si>
  <si>
    <t>=SUM(AB99:AB100)</t>
  </si>
  <si>
    <t>=SUM(AD99:AD100)</t>
  </si>
  <si>
    <t>=SUM(AF99:AF100)</t>
  </si>
  <si>
    <t>=SUM(AH99:AH100)</t>
  </si>
  <si>
    <t>=SUM(AJ99:AJ100)</t>
  </si>
  <si>
    <t>=SUM(AL99:AL100)</t>
  </si>
  <si>
    <t>=SUM(AN99:AN100)</t>
  </si>
  <si>
    <t>=SUM(AP99:AP100)</t>
  </si>
  <si>
    <t>=B101</t>
  </si>
  <si>
    <t>=IF(AQ101=0,""," &amp; RESERVES")</t>
  </si>
  <si>
    <t>=TRIM(IF(AND($F$22&gt;"399",$F$22&lt;"500"),"TOTAL OPERATING EXPENSES"&amp;N103,"TOTAL EXPENDITURES"&amp;N103))</t>
  </si>
  <si>
    <t>=SUM(T94+T86+T81+T70+T101)</t>
  </si>
  <si>
    <t>=SUM(V94+V86+V81+V70+V101)</t>
  </si>
  <si>
    <t>=SUM(X94+X86+X81+X70+X101)</t>
  </si>
  <si>
    <t>=SUM(Z94+Z86+Z81+Z70+Z101)</t>
  </si>
  <si>
    <t>=SUM(AB94+AB86+AB81+AB70+AB101)</t>
  </si>
  <si>
    <t>=SUM(AD94+AD86+AD81+AD70+AD101)</t>
  </si>
  <si>
    <t>=SUM(AF94+AF86+AF81+AF70+AF101)</t>
  </si>
  <si>
    <t>=SUM(AH94+AH86+AH81+AH70+AH101)</t>
  </si>
  <si>
    <t>=SUM(AJ94+AJ86+AJ81+AJ70+AJ101)</t>
  </si>
  <si>
    <t>=SUM(AL94+AL86+AL81+AL70+AL101)</t>
  </si>
  <si>
    <t>=SUM(AN94+AN86+AN81+AN70+AN101)</t>
  </si>
  <si>
    <t>=SUM(AP94+AP86+AP81+AP70+AP101)</t>
  </si>
  <si>
    <t>=IF(R105="","Hide","Show")</t>
  </si>
  <si>
    <t>=SUM(T54-T103-T60)</t>
  </si>
  <si>
    <t>=SUM(V54-V103-V60)</t>
  </si>
  <si>
    <t>=SUM(X54-X103-X60)</t>
  </si>
  <si>
    <t>=SUM(Z54-Z103-Z60)</t>
  </si>
  <si>
    <t>=SUM(AB54-AB103-AB60)</t>
  </si>
  <si>
    <t>=SUM(AD54-AD103-AD60)</t>
  </si>
  <si>
    <t>=SUM(AF54-AF103-AF60)</t>
  </si>
  <si>
    <t>=SUM(AH54-AH103-AH60)</t>
  </si>
  <si>
    <t>=SUM(AJ54-AJ103-AJ60)</t>
  </si>
  <si>
    <t>=SUM(AL54-AL103-AL60)</t>
  </si>
  <si>
    <t>=SUM(AN54-AN103-AN60)</t>
  </si>
  <si>
    <t>=SUM(AP54-AP103-AP60)</t>
  </si>
  <si>
    <t>=IF(AND(VALUE($F$22)&gt;399,VALUE($F$22)&lt;500),0,IF(OR($F$11="NO",T$1="HIDE",T$4="ACTUAL"),0,T106+T117))</t>
  </si>
  <si>
    <t>=IF(AND(VALUE($F$22)&gt;399,VALUE($F$22)&lt;500),0,IF(OR($F$11="NO",V$1="HIDE",V$4="ACTUAL"),0,V106+V117))</t>
  </si>
  <si>
    <t>=IF(AND(VALUE($F$22)&gt;399,VALUE($F$22)&lt;500),0,IF(OR($F$11="NO",X$1="HIDE",X$4="ACTUAL"),0,X106+X117))</t>
  </si>
  <si>
    <t>=IF(AND(VALUE($F$22)&gt;399,VALUE($F$22)&lt;500),0,IF(OR($F$11="NO",Z$1="HIDE",Z$4="ACTUAL"),0,Z106+Z117))</t>
  </si>
  <si>
    <t>=IF(AND(VALUE($F$22)&gt;399,VALUE($F$22)&lt;500),0,IF(OR($F$11="NO",AB$1="HIDE",AB$4="ACTUAL"),0,AB106+AB117))</t>
  </si>
  <si>
    <t>=IF(AND(VALUE($F$22)&gt;399,VALUE($F$22)&lt;500),0,IF(OR($F$11="NO",AD$1="HIDE",AD$4="ACTUAL"),0,AD106+AD117))</t>
  </si>
  <si>
    <t>=IF(AND(VALUE($F$22)&gt;399,VALUE($F$22)&lt;500),0,IF(OR($F$11="NO",AF$1="HIDE",AF$4="ACTUAL"),0,AF106+AF117))</t>
  </si>
  <si>
    <t>=IF(AND(VALUE($F$22)&gt;399,VALUE($F$22)&lt;500),0,IF(OR($F$11="NO",AH$1="HIDE",AH$4="ACTUAL"),0,AH106+AH117))</t>
  </si>
  <si>
    <t>=IF(AND(VALUE($F$22)&gt;399,VALUE($F$22)&lt;500),0,IF(OR($F$11="NO",AN$1="HIDE",AN$4="ACTUAL"),0,AN106+AN117))</t>
  </si>
  <si>
    <t>=IF(AND(VALUE($F$22)&gt;399,VALUE($F$22)&lt;500),0,IF(OR($F$11="NO",AP$1="HIDE",AP$4="ACTUAL"),0,AP106+AP117))</t>
  </si>
  <si>
    <t>=IF(OR($F$11="Yes",$AQ118&lt;&gt;0),"Show",IF($AQ118=0,"Hide","Show"))</t>
  </si>
  <si>
    <t>=B110</t>
  </si>
  <si>
    <t>=IF(AQ112=0,"Hide","Show")</t>
  </si>
  <si>
    <t>=NL("Rows", NL("Union", NL("allunique","G/L Entry",$E$20,$E$20,$E110,"Fund No.",$F$22,"Company=",$D$6,"Posting Date",$J$5),NL("allunique","G/L Budget Entry",$E$20,$E$20,$E110,"Fund Code",$F$22,"Company=",$D$6,"Date",$J$6)))</t>
  </si>
  <si>
    <t>=IF(K112="","399998",K112)</t>
  </si>
  <si>
    <t>=K112</t>
  </si>
  <si>
    <t>=IF($P112="","",NL("Rows","G/L Account","Name","No.",$P112,"Company=",$D$6))</t>
  </si>
  <si>
    <t>=IF($P112="",0,-ROUND(NL("SUM","G/L Entry","Amount","G/L Account No.",$P112,"Fund No.",$F$22,"Global Dimension 2 Code",$F$12,"Company=",$D$6,"Transaction Type",T$4,"Posting Date",T$3),0))</t>
  </si>
  <si>
    <t>=IF(OR(V$1="hide",$P112=""),0,-ROUND(NL("SUM","G/L Entry","Amount","G/L Account No.",$P112,"Fund No.",$F$22,"Global Dimension 2 Code",$F$12,"Company=",$D$6,"Transaction Type",V$4,"Posting Date",V$3),0))</t>
  </si>
  <si>
    <t>=IF(OR(X$1="hide",$P112=""),0,-ROUND(NL("SUM","G/L Entry","Amount","G/L Account No.",$P112,"Fund No.",$F$22,"Global Dimension 2 Code",$F$12,"Company=",$D$6,"Transaction Type",X$4,"Posting Date",X$3),0))</t>
  </si>
  <si>
    <t>=IF(OR(Z$1="hide",$P112=""),0,-ROUND(NL("SUM","G/L Entry","Amount","G/L Account No.",$P112,"Fund No.",$F$22,"Global Dimension 2 Code",$F$12,"Company=",$D$6,"Transaction Type",Z$4,"Posting Date",Z$3),0))</t>
  </si>
  <si>
    <t>=IF(OR(AB$1="hide",$P112=""),0,-ROUND(NL("SUM","G/L Entry","Amount","G/L Account No.",$P112,"Fund No.",$F$22,"Global Dimension 2 Code",$F$12,"Company=",$D$6,"Transaction Type",AB$4,"Posting Date",AB$3),0))</t>
  </si>
  <si>
    <t>=IF(OR(AD$1="hide",$P112=""),0,-ROUND(NL("SUM","G/L Entry","Amount","G/L Account No.",$P112,"Fund No.",$F$22,"Global Dimension 2 Code",$F$12,"Company=",$D$6,"Transaction Type",AD$4,"Posting Date",AD$3),0))</t>
  </si>
  <si>
    <t>=IF(OR(AF$1="hide",$P112=""),0,-ROUND(NL("SUM","G/L Entry","Amount","G/L Account No.",$P112,"Fund No.",$F$22,"Global Dimension 2 Code",$F$12,"Company=",$D$6,"Transaction Type",AF$4,"Posting Date",AF$3),0))</t>
  </si>
  <si>
    <t>=IF(OR(AH$1="hide",$P112=""),0,-ROUND(NL("SUM","G/L Entry","Amount","G/L Account No.",$P112,"Fund No.",$F$22,"Global Dimension 2 Code",$F$12,"Company=",$D$6,"Transaction Type",AH$4,"Posting Date",AH$3),0))</t>
  </si>
  <si>
    <t>=IF(ISERROR(AH112+AJ112),0,(AH112+AJ112))</t>
  </si>
  <si>
    <t>=IF($F$13="yes",0,IF($P112="",0,-ROUND(NL("SUM","G/L Budget Entry","Amount","Fund No.",$F$22,"G/L Account No.",$P112,"Company=",$D$6,"Global Dimension 2 Code",$F$12,"Date",$AN$3),0)))</t>
  </si>
  <si>
    <t>=IF($F$13="YES",AF112,AN112)</t>
  </si>
  <si>
    <t>=ABS(SUMIF(V112:AP112,"&gt;0")-SUMIF(V112:AP112,"&lt;0"))</t>
  </si>
  <si>
    <t>=IF(AQ113=0,"Hide","Show")</t>
  </si>
  <si>
    <t>=IF(K113="","399998",K113)</t>
  </si>
  <si>
    <t>=K113</t>
  </si>
  <si>
    <t>=IF($P113="","",NL("Rows","G/L Account","Name","No.",$P113,"Company=",$D$6))</t>
  </si>
  <si>
    <t>=IF($P113="",0,-ROUND(NL("SUM","G/L Entry","Amount","G/L Account No.",$P113,"Fund No.",$F$22,"Global Dimension 2 Code",$F$12,"Company=",$D$6,"Transaction Type",T$4,"Posting Date",T$3),0))</t>
  </si>
  <si>
    <t>=IF(OR(V$1="hide",$P113=""),0,-ROUND(NL("SUM","G/L Entry","Amount","G/L Account No.",$P113,"Fund No.",$F$22,"Global Dimension 2 Code",$F$12,"Company=",$D$6,"Transaction Type",V$4,"Posting Date",V$3),0))</t>
  </si>
  <si>
    <t>=IF(OR(X$1="hide",$P113=""),0,-ROUND(NL("SUM","G/L Entry","Amount","G/L Account No.",$P113,"Fund No.",$F$22,"Global Dimension 2 Code",$F$12,"Company=",$D$6,"Transaction Type",X$4,"Posting Date",X$3),0))</t>
  </si>
  <si>
    <t>=IF(OR(Z$1="hide",$P113=""),0,-ROUND(NL("SUM","G/L Entry","Amount","G/L Account No.",$P113,"Fund No.",$F$22,"Global Dimension 2 Code",$F$12,"Company=",$D$6,"Transaction Type",Z$4,"Posting Date",Z$3),0))</t>
  </si>
  <si>
    <t>=IF(OR(AB$1="hide",$P113=""),0,-ROUND(NL("SUM","G/L Entry","Amount","G/L Account No.",$P113,"Fund No.",$F$22,"Global Dimension 2 Code",$F$12,"Company=",$D$6,"Transaction Type",AB$4,"Posting Date",AB$3),0))</t>
  </si>
  <si>
    <t>=IF(OR(AD$1="hide",$P113=""),0,-ROUND(NL("SUM","G/L Entry","Amount","G/L Account No.",$P113,"Fund No.",$F$22,"Global Dimension 2 Code",$F$12,"Company=",$D$6,"Transaction Type",AD$4,"Posting Date",AD$3),0))</t>
  </si>
  <si>
    <t>=IF(OR(AF$1="hide",$P113=""),0,-ROUND(NL("SUM","G/L Entry","Amount","G/L Account No.",$P113,"Fund No.",$F$22,"Global Dimension 2 Code",$F$12,"Company=",$D$6,"Transaction Type",AF$4,"Posting Date",AF$3),0))</t>
  </si>
  <si>
    <t>=IF(OR(AH$1="hide",$P113=""),0,-ROUND(NL("SUM","G/L Entry","Amount","G/L Account No.",$P113,"Fund No.",$F$22,"Global Dimension 2 Code",$F$12,"Company=",$D$6,"Transaction Type",AH$4,"Posting Date",AH$3),0))</t>
  </si>
  <si>
    <t>=IF(ISERROR(AH113+AJ113),0,(AH113+AJ113))</t>
  </si>
  <si>
    <t>=IF($F$13="yes",0,IF($P113="",0,-ROUND(NL("SUM","G/L Budget Entry","Amount","Fund No.",$F$22,"G/L Account No.",$P113,"Company=",$D$6,"Global Dimension 2 Code",$F$12,"Date",$AN$3),0)))</t>
  </si>
  <si>
    <t>=IF($F$13="YES",AF113,AN113)</t>
  </si>
  <si>
    <t>=IF(AQ114=0,"Hide","Show")</t>
  </si>
  <si>
    <t>="591100"</t>
  </si>
  <si>
    <t>=IF(K114="","399998",K114)</t>
  </si>
  <si>
    <t>=K114</t>
  </si>
  <si>
    <t>=IF($P114="","",NL("Rows","G/L Account","Name","No.",$P114,"Company=",$D$6))</t>
  </si>
  <si>
    <t>=IF($P114="",0,-ROUND(NL("SUM","G/L Entry","Amount","G/L Account No.",$P114,"Fund No.",$F$22,"Global Dimension 2 Code",$F$12,"Company=",$D$6,"Transaction Type",T$4,"Posting Date",T$3),0))</t>
  </si>
  <si>
    <t>=IF(OR(V$1="hide",$P114=""),0,-ROUND(NL("SUM","G/L Entry","Amount","G/L Account No.",$P114,"Fund No.",$F$22,"Global Dimension 2 Code",$F$12,"Company=",$D$6,"Transaction Type",V$4,"Posting Date",V$3),0))</t>
  </si>
  <si>
    <t>=IF(OR(X$1="hide",$P114=""),0,-ROUND(NL("SUM","G/L Entry","Amount","G/L Account No.",$P114,"Fund No.",$F$22,"Global Dimension 2 Code",$F$12,"Company=",$D$6,"Transaction Type",X$4,"Posting Date",X$3),0))</t>
  </si>
  <si>
    <t>=IF(OR(Z$1="hide",$P114=""),0,-ROUND(NL("SUM","G/L Entry","Amount","G/L Account No.",$P114,"Fund No.",$F$22,"Global Dimension 2 Code",$F$12,"Company=",$D$6,"Transaction Type",Z$4,"Posting Date",Z$3),0))</t>
  </si>
  <si>
    <t>=IF(OR(AB$1="hide",$P114=""),0,-ROUND(NL("SUM","G/L Entry","Amount","G/L Account No.",$P114,"Fund No.",$F$22,"Global Dimension 2 Code",$F$12,"Company=",$D$6,"Transaction Type",AB$4,"Posting Date",AB$3),0))</t>
  </si>
  <si>
    <t>=IF(OR(AD$1="hide",$P114=""),0,-ROUND(NL("SUM","G/L Entry","Amount","G/L Account No.",$P114,"Fund No.",$F$22,"Global Dimension 2 Code",$F$12,"Company=",$D$6,"Transaction Type",AD$4,"Posting Date",AD$3),0))</t>
  </si>
  <si>
    <t>=IF(OR(AF$1="hide",$P114=""),0,-ROUND(NL("SUM","G/L Entry","Amount","G/L Account No.",$P114,"Fund No.",$F$22,"Global Dimension 2 Code",$F$12,"Company=",$D$6,"Transaction Type",AF$4,"Posting Date",AF$3),0))</t>
  </si>
  <si>
    <t>=IF(OR(AH$1="hide",$P114=""),0,-ROUND(NL("SUM","G/L Entry","Amount","G/L Account No.",$P114,"Fund No.",$F$22,"Global Dimension 2 Code",$F$12,"Company=",$D$6,"Transaction Type",AH$4,"Posting Date",AH$3),0))</t>
  </si>
  <si>
    <t>=IF(ISERROR(AH114+AJ114),0,(AH114+AJ114))</t>
  </si>
  <si>
    <t>=IF($F$13="yes",0,IF($P114="",0,-ROUND(NL("SUM","G/L Budget Entry","Amount","Fund No.",$F$22,"G/L Account No.",$P114,"Company=",$D$6,"Global Dimension 2 Code",$F$12,"Date",$AN$3),0)))</t>
  </si>
  <si>
    <t>=IF($F$13="YES",AF114,AN114)</t>
  </si>
  <si>
    <t>="595000"</t>
  </si>
  <si>
    <t>=IF(K115="","399998",K115)</t>
  </si>
  <si>
    <t>=IF($P115="",0,-ROUND(NL("SUM","G/L Entry","Amount","G/L Account No.",$P115,"Fund No.",$F$22,"Global Dimension 2 Code",$F$12,"Company=",$D$6,"Transaction Type",T$4,"Posting Date",T$3),0))</t>
  </si>
  <si>
    <t>=IF(OR(V$1="hide",$P115=""),0,-ROUND(NL("SUM","G/L Entry","Amount","G/L Account No.",$P115,"Fund No.",$F$22,"Global Dimension 2 Code",$F$12,"Company=",$D$6,"Transaction Type",V$4,"Posting Date",V$3),0))</t>
  </si>
  <si>
    <t>=IF(OR(X$1="hide",$P115=""),0,-ROUND(NL("SUM","G/L Entry","Amount","G/L Account No.",$P115,"Fund No.",$F$22,"Global Dimension 2 Code",$F$12,"Company=",$D$6,"Transaction Type",X$4,"Posting Date",X$3),0))</t>
  </si>
  <si>
    <t>=IF(OR(Z$1="hide",$P115=""),0,-ROUND(NL("SUM","G/L Entry","Amount","G/L Account No.",$P115,"Fund No.",$F$22,"Global Dimension 2 Code",$F$12,"Company=",$D$6,"Transaction Type",Z$4,"Posting Date",Z$3),0))</t>
  </si>
  <si>
    <t>=IF(OR(AB$1="hide",$P115=""),0,-ROUND(NL("SUM","G/L Entry","Amount","G/L Account No.",$P115,"Fund No.",$F$22,"Global Dimension 2 Code",$F$12,"Company=",$D$6,"Transaction Type",AB$4,"Posting Date",AB$3),0))</t>
  </si>
  <si>
    <t>=IF(OR(AD$1="hide",$P115=""),0,-ROUND(NL("SUM","G/L Entry","Amount","G/L Account No.",$P115,"Fund No.",$F$22,"Global Dimension 2 Code",$F$12,"Company=",$D$6,"Transaction Type",AD$4,"Posting Date",AD$3),0))</t>
  </si>
  <si>
    <t>=IF(OR(AF$1="hide",$P115=""),0,-ROUND(NL("SUM","G/L Entry","Amount","G/L Account No.",$P115,"Fund No.",$F$22,"Global Dimension 2 Code",$F$12,"Company=",$D$6,"Transaction Type",AF$4,"Posting Date",AF$3),0))</t>
  </si>
  <si>
    <t>=IF(OR(AH$1="hide",$P115=""),0,-ROUND(NL("SUM","G/L Entry","Amount","G/L Account No.",$P115,"Fund No.",$F$22,"Global Dimension 2 Code",$F$12,"Company=",$D$6,"Transaction Type",AH$4,"Posting Date",AH$3),0))</t>
  </si>
  <si>
    <t>=IF($F$13="yes",0,IF($P115="",0,-ROUND(NL("SUM","G/L Budget Entry","Amount","Fund No.",$F$22,"G/L Account No.",$P115,"Company=",$D$6,"Global Dimension 2 Code",$F$12,"Date",$AN$3),0)))</t>
  </si>
  <si>
    <t>=SUM(T111:T116)</t>
  </si>
  <si>
    <t>=SUM(V111:V116)</t>
  </si>
  <si>
    <t>=SUM(X111:X116)</t>
  </si>
  <si>
    <t>=SUM(Z111:Z116)</t>
  </si>
  <si>
    <t>=SUM(AB111:AB116)</t>
  </si>
  <si>
    <t>=SUM(AD111:AD116)</t>
  </si>
  <si>
    <t>=SUM(AF111:AF116)</t>
  </si>
  <si>
    <t>=SUM(AH111:AH116)</t>
  </si>
  <si>
    <t>=SUM(AJ111:AJ116)</t>
  </si>
  <si>
    <t>=SUM(AL111:AL116)</t>
  </si>
  <si>
    <t>=SUM(AN111:AN116)</t>
  </si>
  <si>
    <t>=SUM(AP111:AP116)</t>
  </si>
  <si>
    <t>=IF(OR(T$4="ACTUAL",T$1="hide"),0,T$109)</t>
  </si>
  <si>
    <t>=IF(OR(V$4="ACTUAL",V$1="hide"),0,V$109)</t>
  </si>
  <si>
    <t>=IF(OR(X$4="ACTUAL",X$1="hide"),0,X$109)</t>
  </si>
  <si>
    <t>=IF(OR(Z$4="ACTUAL",Z$1="hide"),0,Z$109)</t>
  </si>
  <si>
    <t>=IF(OR(AB$4="ACTUAL",AB$1="hide"),0,AB$109)</t>
  </si>
  <si>
    <t>=IF(OR(AD$4="ACTUAL",AD$1="hide"),0,AD$109)</t>
  </si>
  <si>
    <t>=IF(OR(AF$4="ACTUAL",AF$1="hide"),0,AF$109)</t>
  </si>
  <si>
    <t>=IF(OR(AH$4="ACTUAL",AH$1="hide"),0,AH$109)</t>
  </si>
  <si>
    <t>=IF(OR(AJ$4="ACTUAL",AJ$1="hide"),0,AJ$109)</t>
  </si>
  <si>
    <t>=IF(OR(AN$4="ACTUAL",AN$1="hide"),0,AN$109)</t>
  </si>
  <si>
    <t>=IF(OR(AP$4="ACTUAL",AP$1="hide"),0,AP$109)</t>
  </si>
  <si>
    <t>=IF(OR($F$11="Yes",$AQ120&lt;&gt;0),"Show",IF($AQ120=0,"Hide","Show"))</t>
  </si>
  <si>
    <t>=SUM(T117:T118)</t>
  </si>
  <si>
    <t>=SUM(V117:V118)</t>
  </si>
  <si>
    <t>=SUM(X117:X118)</t>
  </si>
  <si>
    <t>=SUM(Z117:Z118)</t>
  </si>
  <si>
    <t>=SUM(AB117:AB118)</t>
  </si>
  <si>
    <t>=SUM(AD117:AD118)</t>
  </si>
  <si>
    <t>=SUM(AF117:AF118)</t>
  </si>
  <si>
    <t>=SUM(AH117:AH118)</t>
  </si>
  <si>
    <t>=SUM(AJ117:AJ118)</t>
  </si>
  <si>
    <t>=SUM(AL117:AL118)</t>
  </si>
  <si>
    <t>=SUM(AN117:AN118)</t>
  </si>
  <si>
    <t>=SUM(AP117:AP118)</t>
  </si>
  <si>
    <t>=IF(T$4="ACTUAL",SUM(T120+T106),SUM(T120+T106+(IF(ABS(T109)&lt;0.49,0,-T109))))</t>
  </si>
  <si>
    <t>=IF(V$4="ACTUAL",SUM(V120+V106),SUM(V120+V106+(IF(ABS(V109)&lt;0.49,0,-V109))))</t>
  </si>
  <si>
    <t>=IF(X$4="ACTUAL",SUM(X120+X106),SUM(X120+X106+(IF(ABS(X109)&lt;0.49,0,-X109))))</t>
  </si>
  <si>
    <t>=IF(Z$4="ACTUAL",SUM(Z120+Z106),SUM(Z120+Z106+(IF(ABS(Z109)&lt;0.49,0,-Z109))))</t>
  </si>
  <si>
    <t>=IF(AB$4="ACTUAL",SUM(AB120+AB106),SUM(AB120+AB106+(IF(ABS(AB109)&lt;0.49,0,-AB109))))</t>
  </si>
  <si>
    <t>=IF(AD$4="ACTUAL",SUM(AD120+AD106),SUM(AD120+AD106+(IF(ABS(AD109)&lt;0.49,0,-AD109))))</t>
  </si>
  <si>
    <t>=IF(AF$4="ACTUAL",SUM(AF120+AF106),SUM(AF120+AF106+(IF(ABS(AF109)&lt;0.49,0,-AF109))))</t>
  </si>
  <si>
    <t>=IF(AH$4="ACTUAL",SUM(AH120+AH106),SUM(AH120+AH106+(IF(ABS(AH109)&lt;0.49,0,-AH109))))</t>
  </si>
  <si>
    <t>=IF(AJ$4="ACTUAL",SUM(AJ120+AJ106),SUM(AJ120+AJ106+(IF(ABS(AJ109)&lt;0.49,0,-AJ109))))</t>
  </si>
  <si>
    <t>=IF(AL$4="ACTUAL",SUM(AL120+AL106),SUM(AL120+AL106+(IF(ABS(AL109)&lt;0.49,0,-AL109))))</t>
  </si>
  <si>
    <t>=IF(AN$4="ACTUAL",SUM(AN120+AN106),SUM(AN120+AN106+(IF(ABS(AN109)&lt;0.49,0,-AN109))))</t>
  </si>
  <si>
    <t>=IF(AP$4="ACTUAL",SUM(AP120+AP106),SUM(AP120+AP106+(IF(ABS(AP109)&lt;0.49,0,-AP109))))</t>
  </si>
  <si>
    <t>=IF($O124="",0,ROUND(-NL("SUM","G/L Entry","Amount","G/L Account No.",$O124,"Fund No.",$F$22,"Company=",$D$6,"Global Dimension 2 Code",$F$12,"Transaction Type","Actual","Posting Date",T$3),0))</t>
  </si>
  <si>
    <t>=IF($O124="",0,IF(V$1="SHOW",ROUND(-NL("SUM","G/L Entry","Amount","G/L Account No.",$O124,"Fund No.",$F$22,"Company=",$D$6,"Global Dimension 2 Code",$F$12,"Transaction Type","Actual","Posting Date",V$3),0),0))</t>
  </si>
  <si>
    <t>=IF($O124="",0,IF(X$1="SHOW",ROUND(-NL("SUM","G/L Entry","Amount","G/L Account No.",$O124,"Fund No.",$F$22,"Company=",$D$6,"Global Dimension 2 Code",$F$12,"Transaction Type","Actual","Posting Date",X$3),0),0))</t>
  </si>
  <si>
    <t>=IF($O124="",0,IF(Z$1="SHOW",ROUND(-NL("SUM","G/L Entry","Amount","G/L Account No.",$O124,"Fund No.",$F$22,"Company=",$D$6,"Global Dimension 2 Code",$F$12,"Transaction Type","Actual","Posting Date",Z$3),0),0))</t>
  </si>
  <si>
    <t>=IF($O124="",0,IF(AB$1="SHOW",ROUND(-NL("SUM","G/L Entry","Amount","G/L Account No.",$O124,"Fund No.",$F$22,"Company=",$D$6,"Global Dimension 2 Code",$F$12,"Transaction Type","Actual","Posting Date",AB$3),0),0))</t>
  </si>
  <si>
    <t>=IF($O124="",0,IF(AD$1="SHOW",ROUND(-NL("SUM","G/L Entry","Amount","G/L Account No.",$O124,"Fund No.",$F$22,"Company=",$D$6,"Global Dimension 2 Code",$F$12,"Transaction Type","Actual","Posting Date",AD$3),0),0))</t>
  </si>
  <si>
    <t>=IF($O124="",0,IF(AF$1="SHOW",ROUND(-NL("SUM","G/L Entry","Amount","G/L Account No.",$O124,"Fund No.",$F$22,"Company=",$D$6,"Global Dimension 2 Code",$F$12,"Transaction Type","Actual","Posting Date",AF$3),0),0))</t>
  </si>
  <si>
    <t>=IF($O124="",0,IF(AH$1="SHOW",ROUND(-NL("SUM","G/L Entry","Amount","G/L Account No.",$O124,"Fund No.",$F$22,"Company=",$D$6,"Global Dimension 2 Code",$F$12,"Transaction Type","Actual","Posting Date",AH$3),0),0))</t>
  </si>
  <si>
    <t>=AH124+AJ124</t>
  </si>
  <si>
    <t>=AH125</t>
  </si>
  <si>
    <t>=$Z$158</t>
  </si>
  <si>
    <t>=ABS(T54)+ABS(T103)+ABS(T120)</t>
  </si>
  <si>
    <t>=ABS(V54)+ABS(V103)+ABS(V120)</t>
  </si>
  <si>
    <t>=ABS(X54)+ABS(X103)+ABS(X120)</t>
  </si>
  <si>
    <t>=ABS(Z54)+ABS(Z103)+ABS(Z120)</t>
  </si>
  <si>
    <t>=ABS(AB54)+ABS(AB103)+ABS(AB120)</t>
  </si>
  <si>
    <t>=ABS(AD54)+ABS(AD103)+ABS(AD120)</t>
  </si>
  <si>
    <t>=ABS(AF54)+ABS(AF103)+ABS(AF120)</t>
  </si>
  <si>
    <t>=ABS(AH54)+ABS(AH103)+ABS(AH120)</t>
  </si>
  <si>
    <t>=AH126+AJ126</t>
  </si>
  <si>
    <t>=IF($O127="",0,IF(AND(T$4="BUDGET",T$126=0),0,ROUND(-NL("SUM","G/L Entry","Amount","G/L Account No.",$O127,"Fund No.",$F$22,"Company=",$D$6,"Transaction Type","ACTUAL","Global Dimension 2 Code",$F$12,"Posting Date",T$5)+T124+T125,0)))</t>
  </si>
  <si>
    <t>=IF(V$1="Show",V129-V124-V122,0)</t>
  </si>
  <si>
    <t>=IF(X$1="Show",X129-X124-X122,0)</t>
  </si>
  <si>
    <t>=IF(Z$1="Show",Z129-Z124-Z122,0)</t>
  </si>
  <si>
    <t>=IF(AB$1="Show",AB129-AB124-AB122,0)</t>
  </si>
  <si>
    <t>=IF(OR($O127="",AD$1="HIDE"),0,IF(AND(AD$4="BUDGET",AD$126=0),0,ROUND(-NL("SUM","G/L Entry","Amount","G/L Account No.",$O127,"Fund No.",$F$22,"Company=",$D$6,"Transaction Type","ACTUAL","Global Dimension 2 Code",$F$12,"Posting Date",AD$5)+AD124+AD125,0)))</t>
  </si>
  <si>
    <t>=IF(OR($O127="",AF$1="HIDE"),0,IF(AND(AF$4="BUDGET",AF$126=0),0,AH127))</t>
  </si>
  <si>
    <t>=IF(OR($O127="",AH$1="HIDE"),0,IF(AND(AH$4="BUDGET",AH$126=0),0,ROUND(-NL("SUM","G/L Entry","Amount","G/L Account No.",$O127,"Fund No.",$F$22,"Company=",$D$6,"Transaction Type","ACTUAL","Global Dimension 2 Code",$F$12,"Posting Date",AH$5)+AH124+AH125,0)))</t>
  </si>
  <si>
    <t>=AH127+AJ127</t>
  </si>
  <si>
    <t>=AL129</t>
  </si>
  <si>
    <t>=SUM(T122+T127)</t>
  </si>
  <si>
    <t>=IF(V$1="Hide",0,X127)</t>
  </si>
  <si>
    <t>=IF(X$1="Hide",0,Z127)</t>
  </si>
  <si>
    <t>=IF(Z$1="Hide",0,AB127)</t>
  </si>
  <si>
    <t>=IF(AB$1="Hide",0,AF127)</t>
  </si>
  <si>
    <t>=SUM(AD122+AD127)</t>
  </si>
  <si>
    <t>=SUM(AF122+AF127)</t>
  </si>
  <si>
    <t>=SUM(AH122+AH127)</t>
  </si>
  <si>
    <t>=SUM(AJ122+AJ127)</t>
  </si>
  <si>
    <t>=SUM(AL122+AL127)</t>
  </si>
  <si>
    <t>=SUM(AN122+AN127)</t>
  </si>
  <si>
    <t>=SUM(AP122+AP127)</t>
  </si>
  <si>
    <t>=B132</t>
  </si>
  <si>
    <t>=SUM(AQ34:AQ129)</t>
  </si>
  <si>
    <t>=B133</t>
  </si>
  <si>
    <t>=B134</t>
  </si>
  <si>
    <t>=B135</t>
  </si>
  <si>
    <t>=B136</t>
  </si>
  <si>
    <t>=IF(T$1="HIDE",0,IF($P137="",0,-NL("SUM","G/L Entry","Amount","G/L Account No.",$P137,"Global Dimension 2 Code",$F$12,"Fund No.",$F$22,"Company=",$D$6,"Posting Date",T$3,"Transaction Type",T$4))-T54)</t>
  </si>
  <si>
    <t>=IF(V$1="HIDE",0,IF($P137="",0,-NL("SUM","G/L Entry","Amount","G/L Account No.",$P137,"Global Dimension 2 Code",$F$12,"Fund No.",$F$22,"Company=",$D$6,"Posting Date",V$3,"Transaction Type",V$4))-V54)</t>
  </si>
  <si>
    <t>=IF(X$1="HIDE",0,IF($P137="",0,-NL("SUM","G/L Entry","Amount","G/L Account No.",$P137,"Global Dimension 2 Code",$F$12,"Fund No.",$F$22,"Company=",$D$6,"Posting Date",X$3,"Transaction Type",X$4))-X54)</t>
  </si>
  <si>
    <t>=IF(Z$1="HIDE",0,IF($P137="",0,-NL("SUM","G/L Entry","Amount","G/L Account No.",$P137,"Global Dimension 2 Code",$F$12,"Fund No.",$F$22,"Company=",$D$6,"Posting Date",Z$3,"Transaction Type",Z$4))-Z54)</t>
  </si>
  <si>
    <t>=IF(AB$1="HIDE",0,IF($P137="",0,-NL("SUM","G/L Entry","Amount","G/L Account No.",$P137,"Global Dimension 2 Code",$F$12,"Fund No.",$F$22,"Company=",$D$6,"Posting Date",AB$3,"Transaction Type",AB$4))-AB54)</t>
  </si>
  <si>
    <t>=IF(AD$1="HIDE",0,IF($P137="",0,-NL("SUM","G/L Entry","Amount","G/L Account No.",$P137,"Global Dimension 2 Code",$F$12,"Fund No.",$F$22,"Company=",$D$6,"Posting Date",AD$3,"Transaction Type",AD$4))-AD54)</t>
  </si>
  <si>
    <t>=IF(AF$1="HIDE",0,IF($P137="",0,-NL("SUM","G/L Entry","Amount","G/L Account No.",$P137,"Global Dimension 2 Code",$F$12,"Fund No.",$F$22,"Company=",$D$6,"Posting Date",AF$3,"Transaction Type",AF$4))-AF54)</t>
  </si>
  <si>
    <t>=IF(AH$1="HIDE",0,IF($P137="",0,-NL("SUM","G/L Entry","Amount","G/L Account No.",$P137,"Global Dimension 2 Code",$F$12,"Fund No.",$F$22,"Company=",$D$6,"Posting Date",AH$3,"Transaction Type",AH$4))-AH54)</t>
  </si>
  <si>
    <t>=IF(T$1="HIDE",0,IF($P138="",0,NL("SUM","G/L Entry","Amount","G/L Account No.",$P138,"Global Dimension 2 Code",$F$12,"Fund No.",$F$22,"Company=",$D$6,"Posting Date",T$3,"Transaction Type",T$4))-T103-T60)</t>
  </si>
  <si>
    <t>=IF(V$1="HIDE",0,IF($P138="",0,NL("SUM","G/L Entry","Amount","G/L Account No.",$P138,"Global Dimension 2 Code",$F$12,"Fund No.",$F$22,"Company=",$D$6,"Posting Date",V$3,"Transaction Type",V$4))-V103-V60)</t>
  </si>
  <si>
    <t>=IF(X$1="HIDE",0,IF($P138="",0,NL("SUM","G/L Entry","Amount","G/L Account No.",$P138,"Global Dimension 2 Code",$F$12,"Fund No.",$F$22,"Company=",$D$6,"Posting Date",X$3,"Transaction Type",X$4))-X103-X60)</t>
  </si>
  <si>
    <t>=IF(Z$1="HIDE",0,IF($P138="",0,NL("SUM","G/L Entry","Amount","G/L Account No.",$P138,"Global Dimension 2 Code",$F$12,"Fund No.",$F$22,"Company=",$D$6,"Posting Date",Z$3,"Transaction Type",Z$4))-Z103-Z60)</t>
  </si>
  <si>
    <t>=IF(AB$1="HIDE",0,IF($P138="",0,NL("SUM","G/L Entry","Amount","G/L Account No.",$P138,"Global Dimension 2 Code",$F$12,"Fund No.",$F$22,"Company=",$D$6,"Posting Date",AB$3,"Transaction Type",AB$4))-AB103-AB60)</t>
  </si>
  <si>
    <t>=IF(AD$1="HIDE",0,IF($P138="",0,NL("SUM","G/L Entry","Amount","G/L Account No.",$P138,"Global Dimension 2 Code",$F$12,"Fund No.",$F$22,"Company=",$D$6,"Posting Date",AD$3,"Transaction Type",AD$4))-AD103-AD60)</t>
  </si>
  <si>
    <t>=IF(AF$1="HIDE",0,IF($P138="",0,NL("SUM","G/L Entry","Amount","G/L Account No.",$P138,"Global Dimension 2 Code",$F$12,"Fund No.",$F$22,"Company=",$D$6,"Posting Date",AF$3,"Transaction Type",AF$4))-AF103-AF60)</t>
  </si>
  <si>
    <t>=IF(AH$1="HIDE",0,IF($P138="",0,NL("SUM","G/L Entry","Amount","G/L Account No.",$P138,"Global Dimension 2 Code",$F$12,"Fund No.",$F$22,"Company=",$D$6,"Posting Date",AH$3,"Transaction Type",AH$4))-AH103-AH60)</t>
  </si>
  <si>
    <t>=IF(T$1="HIDE",0,IF($P139="",0,NL("SUM","G/L Entry","Amount","G/L Account No.",$P139,"Global Dimension 2 Code",$F$12,"Fund No.",$F$22,"Company=",$D$6,"Posting Date",T$3,"Transaction Type",T$4))+T120-T118)</t>
  </si>
  <si>
    <t>=IF(V$1="HIDE",0,IF($P139="",0,NL("SUM","G/L Entry","Amount","G/L Account No.",$P139,"Global Dimension 2 Code",$F$12,"Fund No.",$F$22,"Company=",$D$6,"Posting Date",V$3,"Transaction Type",V$4))+V120-V118)</t>
  </si>
  <si>
    <t>=IF(X$1="HIDE",0,IF($P139="",0,NL("SUM","G/L Entry","Amount","G/L Account No.",$P139,"Global Dimension 2 Code",$F$12,"Fund No.",$F$22,"Company=",$D$6,"Posting Date",X$3,"Transaction Type",X$4))+X120-X118)</t>
  </si>
  <si>
    <t>=IF(Z$1="HIDE",0,IF($P139="",0,NL("SUM","G/L Entry","Amount","G/L Account No.",$P139,"Global Dimension 2 Code",$F$12,"Fund No.",$F$22,"Company=",$D$6,"Posting Date",Z$3,"Transaction Type",Z$4))+Z120-Z118)</t>
  </si>
  <si>
    <t>=IF(AB$1="HIDE",0,IF($P139="",0,NL("SUM","G/L Entry","Amount","G/L Account No.",$P139,"Global Dimension 2 Code",$F$12,"Fund No.",$F$22,"Company=",$D$6,"Posting Date",AB$3,"Transaction Type",AB$4))+AB120-AB118)</t>
  </si>
  <si>
    <t>=IF(AD$1="HIDE",0,IF($P139="",0,NL("SUM","G/L Entry","Amount","G/L Account No.",$P139,"Global Dimension 2 Code",$F$12,"Fund No.",$F$22,"Company=",$D$6,"Posting Date",AD$3,"Transaction Type",AD$4))+AD120-AD118)</t>
  </si>
  <si>
    <t>=IF(AF$1="HIDE",0,IF($P139="",0,NL("SUM","G/L Entry","Amount","G/L Account No.",$P139,"Global Dimension 2 Code",$F$12,"Fund No.",$F$22,"Company=",$D$6,"Posting Date",AF$3,"Transaction Type",AF$4))+AF120-AF118)</t>
  </si>
  <si>
    <t>=IF(AH$1="HIDE",0,IF($P139="",0,NL("SUM","G/L Entry","Amount","G/L Account No.",$P139,"Global Dimension 2 Code",$F$12,"Fund No.",$F$22,"Company=",$D$6,"Posting Date",AH$3,"Transaction Type",AH$4))+AH120-AH118)</t>
  </si>
  <si>
    <t>=IF(T$1="SHOW",IF(OR($P140="",T$4="BUDGET"),0,-T129-ROUND(NL("SUM","G/L Entry","Amount","G/L Account No.",$P140,"Global Dimension 2 Code",$F$12,"Fund No.",$F$22,"Company=",$D$6,"Transaction Type",T$4,"Posting Date",T$2),0)),0)</t>
  </si>
  <si>
    <t>=IF(V$1="SHOW",IF(OR($P140="",V$4="BUDGET"),0,-V129-ROUND(NL("SUM","G/L Entry","Amount","G/L Account No.",$P140,"Global Dimension 2 Code",$F$12,"Fund No.",$F$22,"Company=",$D$6,"Transaction Type",V$4,"Posting Date",V$2),0)),0)</t>
  </si>
  <si>
    <t>=IF(X$1="SHOW",IF(OR($P140="",X$4="BUDGET"),0,-X129-ROUND(NL("SUM","G/L Entry","Amount","G/L Account No.",$P140,"Global Dimension 2 Code",$F$12,"Fund No.",$F$22,"Company=",$D$6,"Transaction Type",X$4,"Posting Date",X$2),0)),0)</t>
  </si>
  <si>
    <t>=IF(Z$1="SHOW",IF(OR($P140="",Z$4="BUDGET"),0,-Z129-ROUND(NL("SUM","G/L Entry","Amount","G/L Account No.",$P140,"Global Dimension 2 Code",$F$12,"Fund No.",$F$22,"Company=",$D$6,"Transaction Type",Z$4,"Posting Date",Z$2),0)),0)</t>
  </si>
  <si>
    <t>=IF(AB$1="SHOW",IF(OR($P140="",AB$4="BUDGET"),0,-AB129-ROUND(NL("SUM","G/L Entry","Amount","G/L Account No.",$P140,"Global Dimension 2 Code",$F$12,"Fund No.",$F$22,"Company=",$D$6,"Transaction Type",AB$4,"Posting Date",AB$2),0)),0)</t>
  </si>
  <si>
    <t>=IF(AD$1="SHOW",IF(OR($P140="",AD$4="BUDGET"),0,-AD129-ROUND(NL("SUM","G/L Entry","Amount","G/L Account No.",$P140,"Global Dimension 2 Code",$F$12,"Fund No.",$F$22,"Company=",$D$6,"Transaction Type",AD$4,"Posting Date",AD$2),0)),0)</t>
  </si>
  <si>
    <t>=IF(AF$1="SHOW",IF(OR($P140="",AF$4="BUDGET"),0,-AF129-ROUND(NL("SUM","G/L Entry","Amount","G/L Account No.",$P140,"Global Dimension 2 Code",$F$12,"Fund No.",$F$22,"Company=",$D$6,"Transaction Type",AF$4,"Posting Date",AF$2),0)),0)</t>
  </si>
  <si>
    <t>=IF(AH$1="SHOW",IF(OR($P140="",AH$4="BUDGET"),0,-AH129-ROUND(NL("SUM","G/L Entry","Amount","G/L Account No.",$P140,"Global Dimension 2 Code",$F$12,"Fund No.",$F$22,"Company=",$D$6,"Transaction Type",AH$4,"Posting Date",AH$2),0)),0)</t>
  </si>
  <si>
    <t>=IF(COUNTIF(V142:AP142,"ERROR")=0,"Hide","Show")</t>
  </si>
  <si>
    <t>=COUNTIF(V142:AP142,"ERROR")</t>
  </si>
  <si>
    <t>=IF(OR(ABS(V137)&gt;10,ABS(V138)&gt;10,ABS(V139)&gt;10,ABS(V140)&gt;10),"ERROR","")</t>
  </si>
  <si>
    <t>=IF(OR(ABS(X137)&gt;10,ABS(X138)&gt;10,ABS(X139)&gt;10,ABS(X140)&gt;10),"ERROR","")</t>
  </si>
  <si>
    <t>=IF(OR(ABS(Z137)&gt;10,ABS(Z138)&gt;10,ABS(Z139)&gt;10,ABS(Z140)&gt;10),"ERROR","")</t>
  </si>
  <si>
    <t>=IF(OR(ABS(AB137)&gt;10,ABS(AB138)&gt;10,ABS(AB139)&gt;10,ABS(AB140)&gt;10),"ERROR","")</t>
  </si>
  <si>
    <t>=IF(OR(ABS(AD137)&gt;10,ABS(AD138)&gt;10,ABS(AD139)&gt;10,ABS(AD140)&gt;10),"ERROR","")</t>
  </si>
  <si>
    <t>=IF(OR(ABS(AF137)&gt;10,ABS(AF138)&gt;10,ABS(AF139)&gt;10,ABS(AF140)&gt;10),"ERROR","")</t>
  </si>
  <si>
    <t>=IF(OR(ABS(AH137)&gt;10,ABS(AH138)&gt;10,ABS(AH139)&gt;10,ABS(AH140)&gt;10),"ERROR","")</t>
  </si>
  <si>
    <t>=IF(OR(ABS(AN137)&gt;10,ABS(AN138)&gt;10,ABS(AN139)&gt;10,ABS(AN140)&gt;10),"ERROR","")</t>
  </si>
  <si>
    <t>=T129</t>
  </si>
  <si>
    <t>=IF(AD$1="HIDE",0,IF($P145="",0,-NL("SUM","G/L Entry","Amount","G/L Account No.",$P145,"Global Dimension 2 Code",$F$12,"Fund No.",$F$22,"Company=",$D$6,"Posting Date",AD$3,AD$7,AD$8,"Transaction Type",AD$4)))</t>
  </si>
  <si>
    <t>=IF(AF$1="HIDE",0,IF($P145="",0,-NL("SUM","G/L Entry","Amount","G/L Account No.",$P145,"Global Dimension 2 Code",$F$12,"Fund No.",$F$22,"Company=",$D$6,"Posting Date",AF$3,AF$7,AF$8,"Transaction Type",AF$4)))</t>
  </si>
  <si>
    <t>=IF(AD$1="HIDE",0,IF($P146="",0,NL("SUM","G/L Entry","Amount","G/L Account No.",$P146,"Global Dimension 2 Code",$F$12,"Fund No.",$F$22,"Company=",$D$6,"Posting Date",AD$3,"Transaction Type",AD$4,AD$7,AD$8)))</t>
  </si>
  <si>
    <t>=IF(AF$1="HIDE",0,IF($P146="",0,NL("SUM","G/L Entry","Amount","G/L Account No.",$P146,"Global Dimension 2 Code",$F$12,"Fund No.",$F$22,"Company=",$D$6,"Posting Date",AF$3,"Transaction Type",AF$4,AF$7,AF$8)))</t>
  </si>
  <si>
    <t>=T146-T145</t>
  </si>
  <si>
    <t>=IF(AD$1="HIDE",0,IF($P147="",0,NL("SUM","G/L Entry","Amount","G/L Account No.",$P147,"Global Dimension 2 Code",$F$12,"Fund No.",$F$22,"Company=",$D$6,"Posting Date",AD$3,"Transaction Type",AD$4,AD$7,AD$8)))</t>
  </si>
  <si>
    <t>=IF(AF$1="HIDE",0,IF($P147="",0,NL("SUM","G/L Entry","Amount","G/L Account No.",$P147,"Global Dimension 2 Code",$F$12,"Fund No.",$F$22,"Company=",$D$6,"Posting Date",AF$3,"Transaction Type",AF$4,AF$7,AF$8)))</t>
  </si>
  <si>
    <t>=ABS(AD145)+ABS(AD146)+ABS(AD147)</t>
  </si>
  <si>
    <t>=ABS(AF145)+ABS(AF146)+ABS(AF147)</t>
  </si>
  <si>
    <t>=B148</t>
  </si>
  <si>
    <t>=B149</t>
  </si>
  <si>
    <t>=B150</t>
  </si>
  <si>
    <t>=-ROUND(NL("SUM","G/L Entry","Amount","G/L Account No.",$P151,"Fund No.",$F$22,"Company=",$D$6,"Transaction Type","ACTUAL","Global Dimension 2 Code",$F$12,"Posting Date",$J$4),0)</t>
  </si>
  <si>
    <t>=IF($X151=0,0,$AB151)</t>
  </si>
  <si>
    <t>=T147</t>
  </si>
  <si>
    <t>=B151</t>
  </si>
  <si>
    <t>=IF($C$9=0,0,ROUND(NL("SUM","G/L Entry","Amount","G/L Account No.",$P152,"Fund No.",$F$22,"Company=",$D$6,"Transaction Type","ACTUAL","Global Dimension 1 Code",$V152,"Global Dimension 2 Code",$F$12,"Posting Date",$J$4),0))</t>
  </si>
  <si>
    <t>=IF($X152=0,0,IF($Z151=0,$AB152,0))</t>
  </si>
  <si>
    <t>=$AB151</t>
  </si>
  <si>
    <t>=B152</t>
  </si>
  <si>
    <t>=IF($C$9=0,0,ROUND(NL("SUM","G/L Entry","Amount","G/L Account No.",$P153,"Fund No.",$F$22,"Company=",$D$6,"Transaction Type","ACTUAL","Global Dimension 1 Code",$V153,"Global Dimension 2 Code",$F$12,"Posting Date",$J$4),0))</t>
  </si>
  <si>
    <t>=IF($X153=0,0,IF(SUM($Z151:$Z152)=0,$AB153,0))</t>
  </si>
  <si>
    <t>=$AB152</t>
  </si>
  <si>
    <t>=B153</t>
  </si>
  <si>
    <t>=IF($C$9=0,0,ROUND(NL("SUM","G/L Entry","Amount","G/L Account No.",$P154,"Fund No.",$F$22,"Company=",$D$6,"Transaction Type","ACTUAL","Global Dimension 1 Code",$V154,"Global Dimension 2 Code",$F$12,"Posting Date",$J$4),0))</t>
  </si>
  <si>
    <t>=IF($X154=0,0,IF(SUM($Z151:$Z153)=0,$AB154,0))</t>
  </si>
  <si>
    <t>=$AB153</t>
  </si>
  <si>
    <t>=P154+1</t>
  </si>
  <si>
    <t>=IF($C$9=0,0,ROUND(NL("SUM","G/L Entry","Amount","G/L Account No.",$P155,"Fund No.",$F$22,"Company=",$D$6,"Transaction Type","ACTUAL","Global Dimension 1 Code",$V155,"Global Dimension 2 Code",$F$12,"Posting Date",$J$4),0))</t>
  </si>
  <si>
    <t>=IF($X155=0,0,IF(SUM($Z151:$Z154)=0,$AB155,0))</t>
  </si>
  <si>
    <t>=$AB154</t>
  </si>
  <si>
    <t>=B155</t>
  </si>
  <si>
    <t>=P155+1</t>
  </si>
  <si>
    <t>=IF($C$9=0,0,ROUND(NL("SUM","G/L Entry","Amount","G/L Account No.",$P156,"Fund No.",$F$22,"Company=",$D$6,"Transaction Type","ACTUAL","Global Dimension 1 Code",$V156,"Global Dimension 2 Code",$F$12,"Posting Date",$J$4),0))</t>
  </si>
  <si>
    <t>=IF($X156=0,0,IF(SUM($Z151:$Z155)=0,$AB156,0))</t>
  </si>
  <si>
    <t>=$AB155</t>
  </si>
  <si>
    <t>=B156</t>
  </si>
  <si>
    <t>=P156+1</t>
  </si>
  <si>
    <t>=IF($C$9=0,0,ROUND(NL("SUM","G/L Entry","Amount","G/L Account No.",$P157,"Fund No.",$F$22,"Company=",$D$6,"Transaction Type","ACTUAL","Global Dimension 1 Code",$V157,"Global Dimension 2 Code",$F$12,"Posting Date",$J$4),0))</t>
  </si>
  <si>
    <t>=IF($X157=0,0,IF(SUM($Z151:$Z156)=0,$AB157,0))</t>
  </si>
  <si>
    <t>=$AB156</t>
  </si>
  <si>
    <t>=B157</t>
  </si>
  <si>
    <t>=IF(SUM($Z151:$Z157)=0,$AB158,0)</t>
  </si>
  <si>
    <t>=$AB157</t>
  </si>
  <si>
    <t>Auto+Hide+Values+Formulas=Sheet6,Sheet13,Sheet14+AutoSheet+FormulasOnly</t>
  </si>
  <si>
    <t>=IF(AQ128=0,"hidesheet","Hide")</t>
  </si>
  <si>
    <t>=IF(AD145=0,"ADOPTED","AMENDED")</t>
  </si>
  <si>
    <t>=IF(AF145=0,"ADOPTED","AMENDED")</t>
  </si>
  <si>
    <t>=IF(R139=0,IF(AND($F$22&gt;"399",$F$22&lt;"500"),"OPERATING REVENUES","REVENUES"),"THIS REPORT HAS AN ERROR, THIS REPORT HAS AN ERROR, THIS REPORT HAS AN ERROR")</t>
  </si>
  <si>
    <t>=IF(OR(AH$1="hide",$P38=""),0,ROUND(-NL("SUM","G/L Entry","Amount","G/L Account No.",$P38,"Fund No.",$F$22,"Global Dimension 2 Code",$F$12,"Company=",$D$6,"Transaction Type",AH$4,"Posting Date",AH$3)+$Z148,0))</t>
  </si>
  <si>
    <t>=NL("Rows=6","G/L Entry","Global Dimension 2 Code","G/L Account No.",$E$45,"Global Dimension 2 Code",$F$12,"Fund No.",$F$22,"Company=",$D$6,"Posting Date",$J$5)</t>
  </si>
  <si>
    <t>=B50</t>
  </si>
  <si>
    <t>=IF(I46="","9999999",I46)</t>
  </si>
  <si>
    <t>=NL("Rows","Dimension Value","Name","Code","@@"&amp;$I47,"Dimension Code","SUBACCT","Company=",$D$6)</t>
  </si>
  <si>
    <t>=I47</t>
  </si>
  <si>
    <t>=NL("Rows", NL("Union", NL("allunique","G/L Entry",$E$20,$E$20,$E$45,"Fund No.",$F$22,$E$23,$I48,"Company=",$D$6,"Posting Date",$J$5),NL("allunique","G/L Budget Entry",$E$20,$E$20,$E$45,"Fund Code",$F$22,$E$23,$I48,"Company=",$D$6,"Date",$J$6)))</t>
  </si>
  <si>
    <t>=K48 &amp;" "&amp;I48</t>
  </si>
  <si>
    <t>=IF($P48="",0,ROUND(-NL("SUM","G/L Entry","Amount","G/L Account No.",$P48,"Fund No.",$F$22,"Global Dimension 2 Code",$I48,"Company=",$D$6,"Transaction Type",T$4,"Posting Date",T$3),0))</t>
  </si>
  <si>
    <t>=IF(OR(V$1="hide",$P48=""),0,ROUND(-NL("SUM","G/L Entry","Amount","G/L Account No.",$P48,"Fund No.",$F$22,"Global Dimension 2 Code",$I48,"Company=",$D$6,"Transaction Type",V$4,"Posting Date",V$3),0))</t>
  </si>
  <si>
    <t>=IF(OR(X$1="hide",$P48=""),0,ROUND(-NL("SUM","G/L Entry","Amount","G/L Account No.",$P48,"Fund No.",$F$22,"Global Dimension 2 Code",I48,"Company=",$D$6,"Transaction Type",X$4,"Posting Date",X$3),0))</t>
  </si>
  <si>
    <t>=IF(OR(Z$1="hide",$P48=""),0,ROUND(-NL("SUM","G/L Entry","Amount","G/L Account No.",$P48,"Fund No.",$F$22,"Global Dimension 2 Code",$I48,"Company=",$D$6,"Transaction Type",Z$4,"Posting Date",Z$3),0))</t>
  </si>
  <si>
    <t>=IF(OR(AB$1="hide",$P48=""),0,ROUND(-NL("SUM","G/L Entry","Amount","G/L Account No.",$P48,"Fund No.",$F$22,"Global Dimension 2 Code",$I48,"Company=",$D$6,"Transaction Type",AB$4,"Posting Date",AB$3),0))</t>
  </si>
  <si>
    <t>=IF(OR(AD$1="hide",$P48=""),0,ROUND(-NL("SUM","G/L Entry","Amount","G/L Account No.",$P48,"Fund No.",$F$22,"Global Dimension 2 Code",$I48,"Company=",$D$6,"Transaction Type",AD$4,"Posting Date",AD$3),0))</t>
  </si>
  <si>
    <t>=IF(OR(AF$1="hide",$P48=""),0,ROUND(-NL("SUM","G/L Entry","Amount","G/L Account No.",$P48,"Fund No.",$F$22,"Global Dimension 2 Code",$I48,"Company=",$D$6,"Transaction Type",AF$4,"Posting Date",AF$3),0))</t>
  </si>
  <si>
    <t>=IF(OR(AH$1="hide",$P48=""),0,ROUND(-NL("SUM","G/L Entry","Amount","G/L Account No.",$P48,"Fund No.",$F$22,"Global Dimension 2 Code",$I48,"Company=",$D$6,"Transaction Type",AH$4,"Posting Date",AH$3),0))</t>
  </si>
  <si>
    <t>=IF($F$13="yes",0,IF($P48="",0,-ROUND(NL("SUM","G/L Budget Entry","Amount","Fund No.",$F$22,"G/L Account No.",$P48,"Company=",$D$6,"Global Dimension 2 Code",$I48,"Date",$AN$3),0)))</t>
  </si>
  <si>
    <t>=SUM(T47:T49)</t>
  </si>
  <si>
    <t>=SUM(V47:V49)</t>
  </si>
  <si>
    <t>=SUM(X47:X49)</t>
  </si>
  <si>
    <t>=SUM(Z47:Z49)</t>
  </si>
  <si>
    <t>=SUM(AB47:AB49)</t>
  </si>
  <si>
    <t>=SUM(AD47:AD49)</t>
  </si>
  <si>
    <t>=SUM(AF47:AF49)</t>
  </si>
  <si>
    <t>=SUM(AH47:AH49)</t>
  </si>
  <si>
    <t>=SUM(AJ47:AJ49)</t>
  </si>
  <si>
    <t>=SUM(AL47:AL49)</t>
  </si>
  <si>
    <t>=SUM(AN47:AN49)</t>
  </si>
  <si>
    <t>=SUM(AP47:AP49)</t>
  </si>
  <si>
    <t>=SUM(T37:T44)+SUM(AU48:AU52)</t>
  </si>
  <si>
    <t>=SUM(V37:V44)+SUM(AV48:AV52)</t>
  </si>
  <si>
    <t>=SUM(X37:X44)+SUM(AW48:AW52)</t>
  </si>
  <si>
    <t>=SUM(Z37:Z44)+SUM(AX48:AX52)</t>
  </si>
  <si>
    <t>=SUM(AB37:AB44)+SUM(AY48:AY52)</t>
  </si>
  <si>
    <t>=SUM(AD37:AD44)+SUM(AZ48:AZ52)</t>
  </si>
  <si>
    <t>=SUM(AF37:AF44)+SUM(BA48:BA52)</t>
  </si>
  <si>
    <t>=SUM(AH37:AH44)+SUM(BB48:BB52)</t>
  </si>
  <si>
    <t>=SUM(AJ37:AJ44)+SUM(BC48:BC52)</t>
  </si>
  <si>
    <t>=SUM(AL37:AL44)+SUM(BD48:BD52)</t>
  </si>
  <si>
    <t>=SUM(AN37:AN44)+SUM(BE48:BE52)</t>
  </si>
  <si>
    <t>=SUM(AP37:AP44)+SUM(BF48:BF52)</t>
  </si>
  <si>
    <t>=IF(AQ57=0,"Hide","Show")</t>
  </si>
  <si>
    <t>=NL("Rows", NL("Union", NL("allunique","G/L Entry",$E$20,$E$20,$E55,"Fund No.",$F$22,"Company=",$D$6,"Posting Date",$J$5),NL("allunique","G/L Budget Entry",$E$20,$E$20,$E55,"Fund Code",$F$22,"Company=",$D$6,"Date",$J$6)))</t>
  </si>
  <si>
    <t>=IF(K57="","500000 50000",K57&amp;" "&amp;"50000")</t>
  </si>
  <si>
    <t>=K57</t>
  </si>
  <si>
    <t>=IF($P57="","",(NL("Rows","G/L Account","Name","No.",$P57,"Company=",$D$6)))</t>
  </si>
  <si>
    <t>=IF(OR($F$14="no",$P57=""),0,ROUND(NL("SUM","G/L Entry","Amount","G/L Account No.",$P57,"Fund No.",$F$22,"Global Dimension 2 Code",$F$12,"Company=",$D$6,"Transaction Type",T$4,"Posting Date",T$3),0))</t>
  </si>
  <si>
    <t>=IF(OR(V$1="hide",$F$14="no",$P57=""),0,ROUND(NL("SUM","G/L Entry","Amount","G/L Account No.",$P57,"Fund No.",$F$22,"Global Dimension 2 Code",$F$12,"Company=",$D$6,"Transaction Type",V$4,"Posting Date",V$3),0))</t>
  </si>
  <si>
    <t>=IF(OR(X$1="hide",$F$14="no",$P57=""),0,ROUND(NL("SUM","G/L Entry","Amount","G/L Account No.",$P57,"Fund No.",$F$22,"Global Dimension 2 Code",$F$12,"Company=",$D$6,"Transaction Type",X$4,"Posting Date",X$3),0))</t>
  </si>
  <si>
    <t>=IF(OR(Z$1="hide",$F$14="no",$P57=""),0,ROUND(NL("SUM","G/L Entry","Amount","G/L Account No.",$P57,"Fund No.",$F$22,"Global Dimension 2 Code",$F$12,"Company=",$D$6,"Transaction Type",Z$4,"Posting Date",Z$3),0))</t>
  </si>
  <si>
    <t>=IF(OR(AB$1="hide",$F$14="no",$P57=""),0,ROUND(NL("SUM","G/L Entry","Amount","G/L Account No.",$P57,"Fund No.",$F$22,"Global Dimension 2 Code",$F$12,"Company=",$D$6,"Transaction Type",AB$4,"Posting Date",AB$3),0))</t>
  </si>
  <si>
    <t>=IF(OR(AD$1="hide",$F$14="no",$P57=""),0,ROUND(NL("SUM","G/L Entry","Amount","G/L Account No.",$P57,"Fund No.",$F$22,"Global Dimension 2 Code",$F$12,"Company=",$D$6,"Transaction Type",AD$4,"Posting Date",AD$3),0))</t>
  </si>
  <si>
    <t>=IF(OR(AF$1="hide",$F$14="no",$P57=""),0,ROUND(NL("SUM","G/L Entry","Amount","G/L Account No.",$P57,"Fund No.",$F$22,"Global Dimension 2 Code",$F$12,"Company=",$D$6,"Transaction Type",AF$4,"Posting Date",AF$3),0))</t>
  </si>
  <si>
    <t>=IF(OR(AH$1="hide",$F$14="no",$P57=""),0,SUM(ROUND(NL("SUM","G/L Entry","Amount","G/L Account No.",$P57,"Fund No.",$F$22,"Global Dimension 2 Code",$F$12,"Company=",$D$6,"Transaction Type",AH$4,"Posting Date",AH$3),0),IF($P57="549001",-$AH$71,IF($P57="549900",-$AH$71,0))))</t>
  </si>
  <si>
    <t>=IF(ISERROR(AH57+AJ57),0,(AH57+AJ57))</t>
  </si>
  <si>
    <t>=IF(OR($F$14="no",$F$13="yes"),0,IF($P57="",0,ROUND(NL("SUM","G/L Budget Entry","Amount","Fund No.",$F$22,"G/L Account No.",$P57,"Company=",$D$6,"Global Dimension 2 Code",$F$12,"Date",$AN$3),0)))</t>
  </si>
  <si>
    <t>=IF($F$13="YES",AF57,AN57)</t>
  </si>
  <si>
    <t>=SUM(T56:T58)</t>
  </si>
  <si>
    <t>=SUM(V56:V58)</t>
  </si>
  <si>
    <t>=SUM(X56:X58)</t>
  </si>
  <si>
    <t>=SUM(Z56:Z58)</t>
  </si>
  <si>
    <t>=SUM(AB56:AB58)</t>
  </si>
  <si>
    <t>=SUM(AD56:AD58)</t>
  </si>
  <si>
    <t>=SUM(AF56:AF58)</t>
  </si>
  <si>
    <t>=SUM(AH56:AH58)</t>
  </si>
  <si>
    <t>=SUM(AJ56:AJ58)</t>
  </si>
  <si>
    <t>=SUM(AL56:AL58)</t>
  </si>
  <si>
    <t>=SUM(AN56:AN58)</t>
  </si>
  <si>
    <t>=SUM(AP56:AP58)</t>
  </si>
  <si>
    <t>=B59</t>
  </si>
  <si>
    <t>=IF(OR(VALUE($F$22)&lt;=399,VALUE($F$22)&gt;499,$F$14="NO"),0,T53-T59)</t>
  </si>
  <si>
    <t>=IF(OR(VALUE($F$22)&lt;=399,VALUE($F$22)&gt;499,$F$14="NO"),0,V53-V59)</t>
  </si>
  <si>
    <t>=IF(OR(VALUE($F$22)&lt;=399,VALUE($F$22)&gt;499,$F$14="NO"),0,X53-X59)</t>
  </si>
  <si>
    <t>=IF(OR(VALUE($F$22)&lt;=399,VALUE($F$22)&gt;499,$F$14="NO"),0,Z53-Z59)</t>
  </si>
  <si>
    <t>=IF(OR(VALUE($F$22)&lt;=399,VALUE($F$22)&gt;499,$F$14="NO"),0,AB53-AB59)</t>
  </si>
  <si>
    <t>=IF(OR(VALUE($F$22)&lt;=399,VALUE($F$22)&gt;499,$F$14="NO"),0,AD53-AD59)</t>
  </si>
  <si>
    <t>=IF(OR(VALUE($F$22)&lt;=399,VALUE($F$22)&gt;499,$F$14="NO"),0,AF53-AF59)</t>
  </si>
  <si>
    <t>=IF(OR(VALUE($F$22)&lt;=399,VALUE($F$22)&gt;499,$F$14="NO"),0,AH53-AH59)</t>
  </si>
  <si>
    <t>=IF(OR(VALUE($F$22)&lt;=399,VALUE($F$22)&gt;499,$F$14="NO"),0,AJ53-AJ59)</t>
  </si>
  <si>
    <t>=IF(OR(VALUE($F$22)&lt;=399,VALUE($F$22)&gt;499,$F$14="NO"),0,AL53-AL59)</t>
  </si>
  <si>
    <t>=IF(OR(VALUE($F$22)&lt;=399,VALUE($F$22)&gt;499,$F$14="NO"),0,AN53-AN59)</t>
  </si>
  <si>
    <t>=IF(OR(VALUE($F$22)&lt;=399,VALUE($F$22)&gt;499,$F$14="NO"),0,AP53-AP59)</t>
  </si>
  <si>
    <t>=B69</t>
  </si>
  <si>
    <t>=IF(AQ67=0,"Hide","Show")</t>
  </si>
  <si>
    <t>=NL("Rows", NL("Union", NL("allunique","G/L Entry",$E$20,$E$20,$E66,"Fund No.",$F$22,$E$21,$H66,"Company=",$D$6,"Posting Date",$J$5),NL("allunique","G/L Budget Entry",$E$20,$E$20,$E66,"Fund Code",$F$22,$E$21,$H66,"Company=",$D$6,"Date",$J$6)))</t>
  </si>
  <si>
    <t>=IF(K67="","500000 51699",K67&amp;" "&amp;"51699")</t>
  </si>
  <si>
    <t>=K67</t>
  </si>
  <si>
    <t>=IF($P67="","",(NL("Rows","G/L Account","Name","No.",$P67,"Company=",$D$6)))</t>
  </si>
  <si>
    <t>=IF($P67="",0,ROUND(NL("SUM","G/L Entry","Amount","G/L Account No.",$P67,"Fund No.",$F$22,"Global Dimension 2 Code",$F$12,"Global Dimension 1 Code",$H$66,"Company=",$D$6,"Transaction Type",T$4,"Posting Date",T$3),0))</t>
  </si>
  <si>
    <t>=IF(OR(V$1="hide",$P67=""),0,ROUND(NL("SUM","G/L Entry","Amount","G/L Account No.",$P67,"Fund No.",$F$22,"Global Dimension 2 Code",$F$12,"Global Dimension 1 Code",$H$66,"Company=",$D$6,"Transaction Type",V$4,"Posting Date",V$3),0))</t>
  </si>
  <si>
    <t>=IF(OR(X$1="hide",$P67=""),0,ROUND(NL("SUM","G/L Entry","Amount","G/L Account No.",$P67,"Fund No.",$F$22,"Global Dimension 2 Code",$F$12,"Global Dimension 1 Code",$H$66,"Company=",$D$6,"Transaction Type",X$4,"Posting Date",X$3),0))</t>
  </si>
  <si>
    <t>=IF(OR(Z$1="hide",$P67=""),0,ROUND(NL("SUM","G/L Entry","Amount","G/L Account No.",$P67,"Fund No.",$F$22,"Global Dimension 2 Code",$F$12,"Global Dimension 1 Code",$H$66,"Company=",$D$6,"Transaction Type",Z$4,"Posting Date",Z$3),0))</t>
  </si>
  <si>
    <t>=IF(OR(AB$1="hide",$P67=""),0,ROUND(NL("SUM","G/L Entry","Amount","G/L Account No.",$P67,"Fund No.",$F$22,"Global Dimension 2 Code",$F$12,"Global Dimension 1 Code",$H$66,"Company=",$D$6,"Transaction Type",AB$4,"Posting Date",AB$3),0))</t>
  </si>
  <si>
    <t>=IF(OR(AD$1="hide",$P67=""),0,ROUND(NL("SUM","G/L Entry","Amount","G/L Account No.",$P67,"Fund No.",$F$22,"Global Dimension 2 Code",$F$12,"Global Dimension 1 Code",$H$66,"Company=",$D$6,"Transaction Type",AD$4,"Posting Date",AD$3),0))</t>
  </si>
  <si>
    <t>=IF(OR(AF$1="hide",$P67=""),0,ROUND(NL("SUM","G/L Entry","Amount","G/L Account No.",$P67,"Fund No.",$F$22,"Global Dimension 2 Code",$F$12,"Global Dimension 1 Code",$H$66,"Company=",$D$6,"Transaction Type",AF$4,"Posting Date",AF$3),0))</t>
  </si>
  <si>
    <t>=IF(OR(AH$1="hide",$P67=""),0,SUM(ROUND(NL("SUM","G/L Entry","Amount","G/L Account No.",$P67,"Fund No.",$F$22,"Global Dimension 2 Code",$F$12,"Global Dimension 1 Code",$H$66,"Company=",$D$6,"Transaction Type",AH$4,"Posting Date",AH$3),0),IF($P67="549001",-$AH$71,IF($P67="549900",-$AH$71,0))))</t>
  </si>
  <si>
    <t>=IF(ISERROR(AH67+AJ67),0,(AH67+AJ67))</t>
  </si>
  <si>
    <t>=IF($F$13="yes",0,IF($P67="",0,ROUND(NL("SUM","G/L Budget Entry","Amount","Fund No.",$F$22,"G/L Account No.",$P67,"Global Dimension 1 Code",$H$66,"Company=",$D$6,"Global Dimension 2 Code",$F$12,"Date",$AN$3),0)))</t>
  </si>
  <si>
    <t>=IF($F$13="YES",AF67,AN67)</t>
  </si>
  <si>
    <t>=ABS(SUMIF(V67:AP67,"&gt;0")-SUMIF(V67:AP67,"&lt;0"))</t>
  </si>
  <si>
    <t>=IF(AQ69=0,"Hide","Show")</t>
  </si>
  <si>
    <t>="Total "&amp;R65</t>
  </si>
  <si>
    <t>=SUM(T67:T68)</t>
  </si>
  <si>
    <t>=SUM(V67:V68)</t>
  </si>
  <si>
    <t>=SUM(X67:X68)</t>
  </si>
  <si>
    <t>=SUM(Z67:Z68)</t>
  </si>
  <si>
    <t>=SUM(AB67:AB68)</t>
  </si>
  <si>
    <t>=SUM(AD67:AD68)</t>
  </si>
  <si>
    <t>=SUM(AF67:AF68)</t>
  </si>
  <si>
    <t>=SUM(AH67:AH68)</t>
  </si>
  <si>
    <t>=SUM(AJ67:AJ68)</t>
  </si>
  <si>
    <t>=SUM(AL67:AL68)</t>
  </si>
  <si>
    <t>=SUM(AN67:AN68)</t>
  </si>
  <si>
    <t>=SUM(AP67:AP68)</t>
  </si>
  <si>
    <t>=ABS(SUMIF(V69:AP69,"&gt;0")-SUMIF(V69:AP69,"&lt;0"))</t>
  </si>
  <si>
    <t>=$Z$149+$Z$150</t>
  </si>
  <si>
    <t>=NL("Rows=6", NL("Union", NL("allunique","G/L Entry",$E$21,$E$20,$E$71,$E$21,$H$71,"Fund No.",F$22,"Company=",$D$6,"Posting Date",$J$5),NL("allunique","G/L Budget Entry",$E$21,$E$20,$E$71,$E$21,$H$71,"Fund Code",F$22,"Company=",$D$6,"Date",$J$6)))</t>
  </si>
  <si>
    <t>=IF(AQ77=0,"Hide","Show")</t>
  </si>
  <si>
    <t>=IF($I74="","",(NL("Rows","Dimension Value","Name","Dimension Code",$H73,"Code",$I74,"Company=",$D$6)))</t>
  </si>
  <si>
    <t>=IF(AQ75=0,"Hide","Show")</t>
  </si>
  <si>
    <t>=NL("Rows", NL("Union", NL("allunique","G/L Entry",$E$20,$E$20,$E$71,$E$22,$F$22,$E$21,"@@"&amp;I75,"Company=",$D$6,"Posting Date",$J$5),NL("allunique","G/L Budget Entry",$E$20,$E$20,$E$71,$E$24,$F$22,$E$21,"@@"&amp;I75,"Company=",$D$6,"Date",$J$6)))</t>
  </si>
  <si>
    <t>=IF(I75="","500000 51800",K75&amp;" "&amp;I75)</t>
  </si>
  <si>
    <t>=K75</t>
  </si>
  <si>
    <t>=IF($P75="","",NL("Rows","G/L Account","Name","No.",$P75,"Company=",$D$6))</t>
  </si>
  <si>
    <t>=IF($P75="",0,ROUND(NL("SUM","G/L Entry","Amount","G/L Account No.",$P75,"Fund No.",$F$22,"Global Dimension 2 Code",$F$12,"Global Dimension 1 Code","@@"&amp;$I75,"Company=",$D$6,"Transaction Type",T$4,"Posting Date",T$3),0))</t>
  </si>
  <si>
    <t>=IF(OR(V$1="hide",$P75=""),0,ROUND(NL("SUM","G/L Entry","Amount","G/L Account No.",$P75,"Fund No.",$F$22,"Global Dimension 2 Code",$F$12,"Global Dimension 1 Code","@@"&amp;$I75,"Company=",$D$6,"Transaction Type",V$4,"Posting Date",V$3),0))</t>
  </si>
  <si>
    <t>=IF(OR(X$1="hide",$P75=""),0,ROUND(NL("SUM","G/L Entry","Amount","G/L Account No.",$P75,"Fund No.",$F$22,"Global Dimension 2 Code",$F$12,"Global Dimension 1 Code","@@"&amp;$I75,"Company=",$D$6,"Transaction Type",X$4,"Posting Date",X$3),0))</t>
  </si>
  <si>
    <t>=IF(OR(Z$1="hide",$P75=""),0,ROUND(NL("SUM","G/L Entry","Amount","G/L Account No.",$P75,"Fund No.",$F$22,"Global Dimension 2 Code",$F$12,"Global Dimension 1 Code","@@"&amp;$I75,"Company=",$D$6,"Transaction Type",Z$4,"Posting Date",Z$3),0))</t>
  </si>
  <si>
    <t>=IF(OR(AB$1="hide",$P75=""),0,ROUND(NL("SUM","G/L Entry","Amount","G/L Account No.",$P75,"Fund No.",$F$22,"Global Dimension 2 Code",$F$12,"Global Dimension 1 Code","@@"&amp;$I75,"Company=",$D$6,"Transaction Type",AB$4,"Posting Date",AB$3),0))</t>
  </si>
  <si>
    <t>=IF(OR(AD$1="hide",$P75=""),0,ROUND(NL("SUM","G/L Entry","Amount","G/L Account No.",$P75,"Fund No.",$F$22,"Global Dimension 2 Code",$F$12,"Global Dimension 1 Code","@@"&amp;$I75,"Company=",$D$6,"Transaction Type",AD$4,"Posting Date",AD$3),0))</t>
  </si>
  <si>
    <t>=IF(OR(AF$1="hide",$P75=""),0,ROUND(NL("SUM","G/L Entry","Amount","G/L Account No.",$P75,"Fund No.",$F$22,"Global Dimension 2 Code",$F$12,"Global Dimension 1 Code","@@"&amp;$I75,"Company=",$D$6,"Transaction Type",AF$4,"Posting Date",AF$3),0))</t>
  </si>
  <si>
    <t>=IF(OR(AH$1="hide",$P75=""),0,(ROUND(NL("SUM","G/L Entry","Amount","G/L Account No.",$P75,"Fund No.",$F$22,"Global Dimension 2 Code",$F$12,"Global Dimension 1 Code","@@"&amp;$I75,"Company=",$D$6,"Transaction Type",AH$4,"Posting Date",AH$3),0)))</t>
  </si>
  <si>
    <t>=IF(ISERROR(AH75+AJ75),0,(AH75+AJ75))</t>
  </si>
  <si>
    <t>=IF($F$13="yes",0,IF($P75="",0,ROUND(NL("SUM","G/L Budget Entry","Amount","Fund No.",$F$22,"G/L Account No.",$P75,"Company=",$D$6,"Global Dimension 1 Code","@@"&amp;$I75,"Global Dimension 2 Code",$F$12,"Date",$AN$3),0)))</t>
  </si>
  <si>
    <t>=IF($F$13="YES",AF75,AN75)</t>
  </si>
  <si>
    <t>=ABS(SUMIF(V75:AP75,"&gt;0")-SUMIF(V75:AP75,"&lt;0"))</t>
  </si>
  <si>
    <t>="Total " &amp;($R74)</t>
  </si>
  <si>
    <t>=SUM(T75:T76)</t>
  </si>
  <si>
    <t>=SUM(V75:V76)</t>
  </si>
  <si>
    <t>=SUM(X75:X76)</t>
  </si>
  <si>
    <t>=SUM(Z75:Z76)</t>
  </si>
  <si>
    <t>=SUM(AB75:AB76)</t>
  </si>
  <si>
    <t>=SUM(AD75:AD76)</t>
  </si>
  <si>
    <t>=SUM(AF75:AF76)</t>
  </si>
  <si>
    <t>=SUM(AH75:AH76)</t>
  </si>
  <si>
    <t>=SUM(AJ75:AJ76)</t>
  </si>
  <si>
    <t>=SUM(AL75:AL76)</t>
  </si>
  <si>
    <t>=SUM(AN75:AN76)</t>
  </si>
  <si>
    <t>=SUM(AP75:AP76)</t>
  </si>
  <si>
    <t>=ABS(SUMIF(V77:AP77,"&gt;0")-SUMIF(V77:AP77,"&lt;0"))</t>
  </si>
  <si>
    <t>=SUM(T74:T76)</t>
  </si>
  <si>
    <t>=SUM(V74:V76)</t>
  </si>
  <si>
    <t>=SUM(X74:X76)</t>
  </si>
  <si>
    <t>=SUM(Z74:Z76)</t>
  </si>
  <si>
    <t>=SUM(AB74:AB76)</t>
  </si>
  <si>
    <t>=SUM(AD74:AD76)</t>
  </si>
  <si>
    <t>=SUM(AF74:AF76)</t>
  </si>
  <si>
    <t>=SUM(AH74:AH76)</t>
  </si>
  <si>
    <t>=SUM(AJ74:AJ76)</t>
  </si>
  <si>
    <t>=SUM(AL74:AL76)</t>
  </si>
  <si>
    <t>=SUM(AN74:AN76)</t>
  </si>
  <si>
    <t>=SUM(AP74:AP76)</t>
  </si>
  <si>
    <t>=B77</t>
  </si>
  <si>
    <t>=SUM(AU76:AU79)</t>
  </si>
  <si>
    <t>=SUM(AV76:AV79)</t>
  </si>
  <si>
    <t>=SUM(AW76:AW79)</t>
  </si>
  <si>
    <t>=SUM(AX76:AX79)</t>
  </si>
  <si>
    <t>=SUM(AY76:AY79)</t>
  </si>
  <si>
    <t>=SUM(AZ76:AZ79)</t>
  </si>
  <si>
    <t>=SUM(BA76:BA79)</t>
  </si>
  <si>
    <t>=SUM(BB76:BB79)</t>
  </si>
  <si>
    <t>=SUM(BC76:BC79)</t>
  </si>
  <si>
    <t>=SUM(BD76:BD79)</t>
  </si>
  <si>
    <t>=SUM(BE76:BE79)</t>
  </si>
  <si>
    <t>=SUM(BF76:BF79)</t>
  </si>
  <si>
    <t>=$Z$151+$Z$152+$Z$153+$Z$154</t>
  </si>
  <si>
    <t>=NL("Rows", NL("Union", NL("allunique","G/L Entry",$E$20,$E$20,$E$81,"Fund No.",$F$22,"Company=",$D$6,"Posting Date",$J$5),NL("allunique","G/L Budget Entry",$E$20,$E$20,$E$81,"Fund Code",$F$22,"Company=",$D$6,"Date",$J$6)))</t>
  </si>
  <si>
    <t>=IF(K83="","565999",K83)</t>
  </si>
  <si>
    <t>=IF($P83="","",NL("Rows","G/L Account","Name","No.",$P83,"Company=",$D$6))</t>
  </si>
  <si>
    <t>=IF($P83="",0,ROUND(NL("SUM","G/L Entry","Amount","G/L Account No.",$P83,"Fund No.",$F$22,"Global Dimension 2 Code",$F$12,"Company=",$D$6,"Transaction Type",T$4,"Posting Date",T$3),0))</t>
  </si>
  <si>
    <t>=IF(OR(V$1="hide",$P83=""),0,ROUND(NL("SUM","G/L Entry","Amount","G/L Account No.",$P83,"Fund No.",$F$22,"Global Dimension 2 Code",$F$12,"Company=",$D$6,"Transaction Type",V$4,"Posting Date",V$3),0))</t>
  </si>
  <si>
    <t>=IF(OR(X$1="hide",$P83=""),0,ROUND(NL("SUM","G/L Entry","Amount","G/L Account No.",$P83,"Fund No.",$F$22,"Global Dimension 2 Code",$F$12,"Company=",$D$6,"Transaction Type",X$4,"Posting Date",X$3),0))</t>
  </si>
  <si>
    <t>=IF(OR(Z$1="hide",$P83=""),0,ROUND(NL("SUM","G/L Entry","Amount","G/L Account No.",$P83,"Fund No.",$F$22,"Global Dimension 2 Code",$F$12,"Company=",$D$6,"Transaction Type",Z$4,"Posting Date",Z$3),0))</t>
  </si>
  <si>
    <t>=IF(OR(AB$1="hide",$P83=""),0,ROUND(NL("SUM","G/L Entry","Amount","G/L Account No.",$P83,"Fund No.",$F$22,"Global Dimension 2 Code",$F$12,"Company=",$D$6,"Transaction Type",AB$4,"Posting Date",AB$3),0))</t>
  </si>
  <si>
    <t>=IF(OR(AD$1="hide",$P83=""),0,ROUND(NL("SUM","G/L Entry","Amount","G/L Account No.",$P83,"Fund No.",$F$22,"Global Dimension 2 Code",$F$12,"Company=",$D$6,"Transaction Type",AD$4,"Posting Date",AD$3),0))</t>
  </si>
  <si>
    <t>=IF(OR(AF$1="hide",$P83=""),0,ROUND(NL("SUM","G/L Entry","Amount","G/L Account No.",$P83,"Fund No.",$F$22,"Global Dimension 2 Code",$F$12,"Company=",$D$6,"Transaction Type",AF$4,"Posting Date",AF$3),0))</t>
  </si>
  <si>
    <t>=IF(OR(AH$1="hide",$P83=""),0,SUM(ROUND(NL("SUM","G/L Entry","Amount","G/L Account No.",$P83,"Fund No.",$F$22,"Global Dimension 2 Code",$F$12,"Company=",$D$6,"Transaction Type",AH$4,"Posting Date",AH$3),0),IF($P83="565001",-$AH$81,IF($P83="565002",-$AH$81,IF($P83="565003",-$AH$81,IF($P83="565004",-$AH$81,0))))))</t>
  </si>
  <si>
    <t>=IF($F$13="yes",0,IF($P83="",0,ROUND(NL("SUM","G/L Budget Entry","Amount","Fund No.",$F$22,"G/L Account No.",$P83,"Company=",$D$6,"Global Dimension 2 Code",$F$12,"Date",$AN$3),0)))</t>
  </si>
  <si>
    <t>=SUM(T83:T84)</t>
  </si>
  <si>
    <t>=SUM(V83:V84)</t>
  </si>
  <si>
    <t>=SUM(X83:X84)</t>
  </si>
  <si>
    <t>=SUM(Z83:Z84)</t>
  </si>
  <si>
    <t>=SUM(AB83:AB84)</t>
  </si>
  <si>
    <t>=SUM(AD83:AD84)</t>
  </si>
  <si>
    <t>=SUM(AF83:AF84)</t>
  </si>
  <si>
    <t>=SUM(AH83:AH84)</t>
  </si>
  <si>
    <t>=SUM(AJ83:AJ84)</t>
  </si>
  <si>
    <t>=SUM(AL83:AL84)</t>
  </si>
  <si>
    <t>=SUM(AN83:AN84)</t>
  </si>
  <si>
    <t>=SUM(AP83:AP84)</t>
  </si>
  <si>
    <t>=B85</t>
  </si>
  <si>
    <t>=NL("Rows", NL("Union", NL("allunique","G/L Entry",$E$20,$E$20,$E$86,"Fund No.",$F$22,$E$21,$H$86,"Company=",$D$6,"Posting Date",$J$5),NL("allunique","G/L Budget Entry",$E$20,$E$20,$E$86,"Fund Code",$F$22,$E$21,$H$86,"Company=",$D$6,"Date",$J$6)))</t>
  </si>
  <si>
    <t>=IF(K88="","500000 51799",K88&amp;" "&amp;"51799")</t>
  </si>
  <si>
    <t>=IF($P88="","",NL("Rows","G/L Account","Name","No.",$P88,"Company=",$D$6))</t>
  </si>
  <si>
    <t>=IF($P88="",0,ROUND(NL("SUM","G/L Entry","Amount","G/L Account No.",$P88,"Fund No.",$F$22,"Global Dimension 2 Code",$F$12,"Global Dimension 1 Code",$H$86,"Company=",$D$6,"Transaction Type",T$4,"Posting Date",T$3),0))</t>
  </si>
  <si>
    <t>=IF(OR(V$1="hide",$P88=""),0,ROUND(NL("SUM","G/L Entry","Amount","G/L Account No.",$P88,"Fund No.",$F$22,"Global Dimension 2 Code",$F$12,"Global Dimension 1 Code",$H$86,"Company=",$D$6,"Transaction Type",V$4,"Posting Date",V$3),0))</t>
  </si>
  <si>
    <t>=IF(OR(X$1="hide",$P88=""),0,ROUND(NL("SUM","G/L Entry","Amount","G/L Account No.",$P88,"Fund No.",$F$22,"Global Dimension 2 Code",$F$12,"Global Dimension 1 Code",$H$86,"Company=",$D$6,"Transaction Type",X$4,"Posting Date",X$3),0))</t>
  </si>
  <si>
    <t>=IF(OR(Z$1="hide",$P88=""),0,ROUND(NL("SUM","G/L Entry","Amount","G/L Account No.",$P88,"Fund No.",$F$22,"Global Dimension 2 Code",$F$12,"Global Dimension 1 Code",$H$86,"Company=",$D$6,"Transaction Type",Z$4,"Posting Date",Z$3),0))</t>
  </si>
  <si>
    <t>=IF(OR(AB$1="hide",$P88=""),0,ROUND(NL("SUM","G/L Entry","Amount","G/L Account No.",$P88,"Fund No.",$F$22,"Global Dimension 2 Code",$F$12,"Global Dimension 1 Code",$H$86,"Company=",$D$6,"Transaction Type",AB$4,"Posting Date",AB$3),0))</t>
  </si>
  <si>
    <t>=IF(OR(AD$1="hide",$P88=""),0,ROUND(NL("SUM","G/L Entry","Amount","G/L Account No.",$P88,"Fund No.",$F$22,"Global Dimension 2 Code",$F$12,"Global Dimension 1 Code",$H$86,"Company=",$D$6,"Transaction Type",AD$4,"Posting Date",AD$3),0))</t>
  </si>
  <si>
    <t>=IF(OR(AF$1="hide",$P88=""),0,ROUND(NL("SUM","G/L Entry","Amount","G/L Account No.",$P88,"Fund No.",$F$22,"Global Dimension 2 Code",$F$12,"Global Dimension 1 Code",$H$86,"Company=",$D$6,"Transaction Type",AF$4,"Posting Date",AF$3),0))</t>
  </si>
  <si>
    <t>=IF(OR(AH$1="hide",$P88=""),0,ROUND(NL("SUM","G/L Entry","Amount","G/L Account No.",$P88,"Fund No.",$F$22,"Global Dimension 2 Code",$F$12,"Global Dimension 1 Code",$H$86,"Company=",$D$6,"Transaction Type",AH$4,"Posting Date",AH$3),0))</t>
  </si>
  <si>
    <t>=IF($F$13="yes",0,IF($P88="",0,ROUND(NL("SUM","G/L Budget Entry","Amount","Fund No.",$F$22,"G/L Account No.",$P88,"Company=",$D$6,"Global Dimension 1 Code",$H$86,"Global Dimension 2 Code",$F$12,"Date",$AN$3),0)))</t>
  </si>
  <si>
    <t>=IF($P89="",0,ROUND(NL("SUM","G/L Entry","Amount","G/L Account No.",$P89,"Fund No.",$F$22,"Global Dimension 2 Code",$F$12,"Global Dimension 1 Code",$H$86,"Company=",$D$6,"Transaction Type",T$4,"Posting Date",T$3),0))</t>
  </si>
  <si>
    <t>=IF(OR(V$1="hide",$P89=""),0,ROUND(NL("SUM","G/L Entry","Amount","G/L Account No.",$P89,"Fund No.",$F$22,"Global Dimension 2 Code",$F$12,"Global Dimension 1 Code",$H$86,"Company=",$D$6,"Transaction Type",V$4,"Posting Date",V$3),0))</t>
  </si>
  <si>
    <t>=IF(OR(X$1="hide",$P89=""),0,ROUND(NL("SUM","G/L Entry","Amount","G/L Account No.",$P89,"Fund No.",$F$22,"Global Dimension 2 Code",$F$12,"Global Dimension 1 Code",$H$86,"Company=",$D$6,"Transaction Type",X$4,"Posting Date",X$3),0))</t>
  </si>
  <si>
    <t>=IF(OR(Z$1="hide",$P89=""),0,ROUND(NL("SUM","G/L Entry","Amount","G/L Account No.",$P89,"Fund No.",$F$22,"Global Dimension 2 Code",$F$12,"Global Dimension 1 Code",$H$86,"Company=",$D$6,"Transaction Type",Z$4,"Posting Date",Z$3),0))</t>
  </si>
  <si>
    <t>=IF(OR(AB$1="hide",$P89=""),0,ROUND(NL("SUM","G/L Entry","Amount","G/L Account No.",$P89,"Fund No.",$F$22,"Global Dimension 2 Code",$F$12,"Global Dimension 1 Code",$H$86,"Company=",$D$6,"Transaction Type",AB$4,"Posting Date",AB$3),0))</t>
  </si>
  <si>
    <t>=IF(OR(AD$1="hide",$P89=""),0,ROUND(NL("SUM","G/L Entry","Amount","G/L Account No.",$P89,"Fund No.",$F$22,"Global Dimension 2 Code",$F$12,"Global Dimension 1 Code",$H$86,"Company=",$D$6,"Transaction Type",AD$4,"Posting Date",AD$3),0))</t>
  </si>
  <si>
    <t>=IF(OR(AF$1="hide",$P89=""),0,ROUND(NL("SUM","G/L Entry","Amount","G/L Account No.",$P89,"Fund No.",$F$22,"Global Dimension 2 Code",$F$12,"Global Dimension 1 Code",$H$86,"Company=",$D$6,"Transaction Type",AF$4,"Posting Date",AF$3),0))</t>
  </si>
  <si>
    <t>=IF(OR(AH$1="hide",$P89=""),0,ROUND(NL("SUM","G/L Entry","Amount","G/L Account No.",$P89,"Fund No.",$F$22,"Global Dimension 2 Code",$F$12,"Global Dimension 1 Code",$H$86,"Company=",$D$6,"Transaction Type",AH$4,"Posting Date",AH$3),0))</t>
  </si>
  <si>
    <t>=IF($F$13="yes",0,IF($P89="",0,ROUND(NL("SUM","G/L Budget Entry","Amount","Fund No.",$F$22,"G/L Account No.",$P89,"Company=",$D$6,"Global Dimension 1 Code",$H$86,"Global Dimension 2 Code",$F$12,"Date",$AN$3),0)))</t>
  </si>
  <si>
    <t>=IF($P90="",0,ROUND(NL("SUM","G/L Entry","Amount","G/L Account No.",$P90,"Fund No.",$F$22,"Global Dimension 2 Code",$F$12,"Global Dimension 1 Code",$H$86,"Company=",$D$6,"Transaction Type",T$4,"Posting Date",T$3),0))</t>
  </si>
  <si>
    <t>=IF(OR(V$1="hide",$P90=""),0,ROUND(NL("SUM","G/L Entry","Amount","G/L Account No.",$P90,"Fund No.",$F$22,"Global Dimension 2 Code",$F$12,"Global Dimension 1 Code",$H$86,"Company=",$D$6,"Transaction Type",V$4,"Posting Date",V$3),0))</t>
  </si>
  <si>
    <t>=IF(OR(X$1="hide",$P90=""),0,ROUND(NL("SUM","G/L Entry","Amount","G/L Account No.",$P90,"Fund No.",$F$22,"Global Dimension 2 Code",$F$12,"Global Dimension 1 Code",$H$86,"Company=",$D$6,"Transaction Type",X$4,"Posting Date",X$3),0))</t>
  </si>
  <si>
    <t>=IF(OR(Z$1="hide",$P90=""),0,ROUND(NL("SUM","G/L Entry","Amount","G/L Account No.",$P90,"Fund No.",$F$22,"Global Dimension 2 Code",$F$12,"Global Dimension 1 Code",$H$86,"Company=",$D$6,"Transaction Type",Z$4,"Posting Date",Z$3),0))</t>
  </si>
  <si>
    <t>=IF(OR(AB$1="hide",$P90=""),0,ROUND(NL("SUM","G/L Entry","Amount","G/L Account No.",$P90,"Fund No.",$F$22,"Global Dimension 2 Code",$F$12,"Global Dimension 1 Code",$H$86,"Company=",$D$6,"Transaction Type",AB$4,"Posting Date",AB$3),0))</t>
  </si>
  <si>
    <t>=IF(OR(AD$1="hide",$P90=""),0,ROUND(NL("SUM","G/L Entry","Amount","G/L Account No.",$P90,"Fund No.",$F$22,"Global Dimension 2 Code",$F$12,"Global Dimension 1 Code",$H$86,"Company=",$D$6,"Transaction Type",AD$4,"Posting Date",AD$3),0))</t>
  </si>
  <si>
    <t>=IF(OR(AF$1="hide",$P90=""),0,ROUND(NL("SUM","G/L Entry","Amount","G/L Account No.",$P90,"Fund No.",$F$22,"Global Dimension 2 Code",$F$12,"Global Dimension 1 Code",$H$86,"Company=",$D$6,"Transaction Type",AF$4,"Posting Date",AF$3),0))</t>
  </si>
  <si>
    <t>=IF(OR(AH$1="hide",$P90=""),0,ROUND(NL("SUM","G/L Entry","Amount","G/L Account No.",$P90,"Fund No.",$F$22,"Global Dimension 2 Code",$F$12,"Global Dimension 1 Code",$H$86,"Company=",$D$6,"Transaction Type",AH$4,"Posting Date",AH$3),0))</t>
  </si>
  <si>
    <t>=IF($F$13="yes",0,IF($P90="",0,ROUND(NL("SUM","G/L Budget Entry","Amount","Fund No.",$F$22,"G/L Account No.",$P90,"Company=",$D$6,"Global Dimension 1 Code",$H$86,"Global Dimension 2 Code",$F$12,"Date",$AN$3),0)))</t>
  </si>
  <si>
    <t>=SUM(T88:T91)</t>
  </si>
  <si>
    <t>=SUM(V88:V91)</t>
  </si>
  <si>
    <t>=SUM(X88:X91)</t>
  </si>
  <si>
    <t>=SUM(Z88:Z91)</t>
  </si>
  <si>
    <t>=SUM(AB88:AB91)</t>
  </si>
  <si>
    <t>=SUM(AD88:AD91)</t>
  </si>
  <si>
    <t>=SUM(AF88:AF91)</t>
  </si>
  <si>
    <t>=SUM(AH88:AH91)</t>
  </si>
  <si>
    <t>=SUM(AJ88:AJ91)</t>
  </si>
  <si>
    <t>=SUM(AL88:AL91)</t>
  </si>
  <si>
    <t>=SUM(AN88:AN91)</t>
  </si>
  <si>
    <t>=SUM(AP88:AP91)</t>
  </si>
  <si>
    <t>=B92</t>
  </si>
  <si>
    <t>=IF($F$6="no",0,SUM(T92+T85+T80+T69))</t>
  </si>
  <si>
    <t>=IF($F$6="no",0,SUM(V92+V85+V80+V69))</t>
  </si>
  <si>
    <t>=IF($F$6="no",0,SUM(X92+X85+X80+X69))</t>
  </si>
  <si>
    <t>=IF($F$6="no",0,SUM(Z92+Z85+Z80+Z69))</t>
  </si>
  <si>
    <t>=IF($F$6="no",0,SUM(AB92+AB85+AB80+AB69))</t>
  </si>
  <si>
    <t>=IF($F$6="no",0,SUM(AD92+AD85+AD80+AD69))</t>
  </si>
  <si>
    <t>=IF($F$6="no",0,SUM(AF92+AF85+AF80+AF69))</t>
  </si>
  <si>
    <t>=IF($F$6="no",0,SUM(AH92+AH85+AH80+AH69))</t>
  </si>
  <si>
    <t>=IF($F$6="no",0,SUM(AJ92+AJ85+AJ80+AJ69))</t>
  </si>
  <si>
    <t>=IF($F$6="no",0,SUM(AL92+AL85+AL80+AL69))</t>
  </si>
  <si>
    <t>=IF($F$6="no",0,SUM(AN92+AN85+AN80+AN69))</t>
  </si>
  <si>
    <t>=IF($F$6="no",0,SUM(AP92+AP85+AP80+AP69))</t>
  </si>
  <si>
    <t>=NL("Rows", NL("Union", NL("allunique","G/L Entry",$E$20,$E$20,$E$95,"Fund No.",$F$22,$E$21,$H$95,"Company=",$D$6,"Posting Date",$J$5),NL("allunique","G/L Budget Entry",$E$20,$E$20,$E$95,"Fund Code",$F$22,$E$21,$H$95,"Company=",$D$6,"Date",$J$6)))</t>
  </si>
  <si>
    <t>=IF(K97="","500000 58100",K97&amp;" "&amp;"58100")</t>
  </si>
  <si>
    <t>=IF($P97="","",NL("Rows","G/L Account","Name","No.",$P97,"Company=",$D$6))</t>
  </si>
  <si>
    <t>=IF($P97="",0,ROUND(NL("SUM","G/L Entry","Amount","G/L Account No.",$P97,"Fund No.",$F$22,"Global Dimension 2 Code",$F$12,"Global Dimension 1 Code",$H$95,"Company=",$D$6,"Transaction Type",T$4,"Posting Date",T$3),0))</t>
  </si>
  <si>
    <t>=IF(OR(V$1="hide",$P97=""),0,ROUND(NL("SUM","G/L Entry","Amount","G/L Account No.",$P97,"Fund No.",$F$22,"Global Dimension 2 Code",$F$12,"Global Dimension 1 Code",$H$95,"Company=",$D$6,"Transaction Type",V$4,"Posting Date",V$3),0))</t>
  </si>
  <si>
    <t>=IF(OR(X$1="hide",$P97=""),0,ROUND(NL("SUM","G/L Entry","Amount","G/L Account No.",$P97,"Fund No.",$F$22,"Global Dimension 2 Code",$F$12,"Global Dimension 1 Code",$H$95,"Company=",$D$6,"Transaction Type",X$4,"Posting Date",X$3),0))</t>
  </si>
  <si>
    <t>=IF(OR(Z$1="hide",$P97=""),0,ROUND(NL("SUM","G/L Entry","Amount","G/L Account No.",$P97,"Fund No.",$F$22,"Global Dimension 2 Code",$F$12,"Global Dimension 1 Code",$H$95,"Company=",$D$6,"Transaction Type",Z$4,"Posting Date",Z$3),0))</t>
  </si>
  <si>
    <t>=IF(OR(AB$1="hide",$P97=""),0,ROUND(NL("SUM","G/L Entry","Amount","G/L Account No.",$P97,"Fund No.",$F$22,"Global Dimension 2 Code",$F$12,"Global Dimension 1 Code",$H$95,"Company=",$D$6,"Transaction Type",AB$4,"Posting Date",AB$3),0))</t>
  </si>
  <si>
    <t>=IF(OR(AD$1="hide",$P97=""),0,ROUND(NL("SUM","G/L Entry","Amount","G/L Account No.",$P97,"Fund No.",$F$22,"Global Dimension 2 Code",$F$12,"Global Dimension 1 Code",$H$95,"Company=",$D$6,"Transaction Type",AD$4,"Posting Date",AD$3),0))</t>
  </si>
  <si>
    <t>=IF(OR(AF$1="hide",$P97=""),0,ROUND(NL("SUM","G/L Entry","Amount","G/L Account No.",$P97,"Fund No.",$F$22,"Global Dimension 2 Code",$F$12,"Global Dimension 1 Code",$H$95,"Company=",$D$6,"Transaction Type",AF$4,"Posting Date",AF$3),0))</t>
  </si>
  <si>
    <t>=IF(OR(AH$1="hide",$P97=""),0,ROUND(NL("SUM","G/L Entry","Amount","G/L Account No.",$P97,"Fund No.",$F$22,"Global Dimension 2 Code",$F$12,"Global Dimension 1 Code",$H$95,"Company=",$D$6,"Transaction Type",AH$4,"Posting Date",AH$3),0))</t>
  </si>
  <si>
    <t>=IF($F$13="yes",0,IF($P97="",0,ROUND(NL("SUM","G/L Budget Entry","Amount","Fund No.",$F$22,"G/L Account No.",$P97,"Company=",$D$6,"Global Dimension 1 Code",$H$95,"Global Dimension 2 Code",$F$12,"Date",$AN$3),0)))</t>
  </si>
  <si>
    <t>=SUM(T97:T98)</t>
  </si>
  <si>
    <t>=SUM(V97:V98)</t>
  </si>
  <si>
    <t>=SUM(X97:X98)</t>
  </si>
  <si>
    <t>=SUM(Z97:Z98)</t>
  </si>
  <si>
    <t>=SUM(AB97:AB98)</t>
  </si>
  <si>
    <t>=SUM(AD97:AD98)</t>
  </si>
  <si>
    <t>=SUM(AF97:AF98)</t>
  </si>
  <si>
    <t>=SUM(AH97:AH98)</t>
  </si>
  <si>
    <t>=SUM(AJ97:AJ98)</t>
  </si>
  <si>
    <t>=SUM(AL97:AL98)</t>
  </si>
  <si>
    <t>=SUM(AN97:AN98)</t>
  </si>
  <si>
    <t>=SUM(AP97:AP98)</t>
  </si>
  <si>
    <t>=B99</t>
  </si>
  <si>
    <t>=IF(AQ99=0,""," &amp; RESERVES")</t>
  </si>
  <si>
    <t>=TRIM(IF(AND($F$22&gt;"399",$F$22&lt;"500"),"TOTAL OPERATING EXPENSES"&amp;N101,"TOTAL EXPENDITURES"&amp;N101))</t>
  </si>
  <si>
    <t>=SUM(T92+T85+T80+T69+T99)</t>
  </si>
  <si>
    <t>=SUM(V92+V85+V80+V69+V99)</t>
  </si>
  <si>
    <t>=SUM(X92+X85+X80+X69+X99)</t>
  </si>
  <si>
    <t>=SUM(Z92+Z85+Z80+Z69+Z99)</t>
  </si>
  <si>
    <t>=SUM(AB92+AB85+AB80+AB69+AB99)</t>
  </si>
  <si>
    <t>=SUM(AD92+AD85+AD80+AD69+AD99)</t>
  </si>
  <si>
    <t>=SUM(AF92+AF85+AF80+AF69+AF99)</t>
  </si>
  <si>
    <t>=SUM(AH92+AH85+AH80+AH69+AH99)</t>
  </si>
  <si>
    <t>=SUM(AJ92+AJ85+AJ80+AJ69+AJ99)</t>
  </si>
  <si>
    <t>=SUM(AL92+AL85+AL80+AL69+AL99)</t>
  </si>
  <si>
    <t>=SUM(AN92+AN85+AN80+AN69+AN99)</t>
  </si>
  <si>
    <t>=SUM(AP92+AP85+AP80+AP69+AP99)</t>
  </si>
  <si>
    <t>=IF(R103="","Hide","Show")</t>
  </si>
  <si>
    <t>=SUM(T53-T101-T59)</t>
  </si>
  <si>
    <t>=SUM(V53-V101-V59)</t>
  </si>
  <si>
    <t>=SUM(X53-X101-X59)</t>
  </si>
  <si>
    <t>=SUM(Z53-Z101-Z59)</t>
  </si>
  <si>
    <t>=SUM(AB53-AB101-AB59)</t>
  </si>
  <si>
    <t>=SUM(AD53-AD101-AD59)</t>
  </si>
  <si>
    <t>=SUM(AF53-AF101-AF59)</t>
  </si>
  <si>
    <t>=SUM(AH53-AH101-AH59)</t>
  </si>
  <si>
    <t>=SUM(AJ53-AJ101-AJ59)</t>
  </si>
  <si>
    <t>=SUM(AL53-AL101-AL59)</t>
  </si>
  <si>
    <t>=SUM(AN53-AN101-AN59)</t>
  </si>
  <si>
    <t>=SUM(AP53-AP101-AP59)</t>
  </si>
  <si>
    <t>=IF(AND(VALUE($F$22)&gt;399,VALUE($F$22)&lt;500),0,IF(OR($F$11="NO",T$1="HIDE",T$4="ACTUAL"),0,T104+T114))</t>
  </si>
  <si>
    <t>=IF(AND(VALUE($F$22)&gt;399,VALUE($F$22)&lt;500),0,IF(OR($F$11="NO",V$1="HIDE",V$4="ACTUAL"),0,V104+V114))</t>
  </si>
  <si>
    <t>=IF(AND(VALUE($F$22)&gt;399,VALUE($F$22)&lt;500),0,IF(OR($F$11="NO",X$1="HIDE",X$4="ACTUAL"),0,X104+X114))</t>
  </si>
  <si>
    <t>=IF(AND(VALUE($F$22)&gt;399,VALUE($F$22)&lt;500),0,IF(OR($F$11="NO",Z$1="HIDE",Z$4="ACTUAL"),0,Z104+Z114))</t>
  </si>
  <si>
    <t>=IF(AND(VALUE($F$22)&gt;399,VALUE($F$22)&lt;500),0,IF(OR($F$11="NO",AB$1="HIDE",AB$4="ACTUAL"),0,AB104+AB114))</t>
  </si>
  <si>
    <t>=IF(AND(VALUE($F$22)&gt;399,VALUE($F$22)&lt;500),0,IF(OR($F$11="NO",AD$1="HIDE",AD$4="ACTUAL"),0,AD104+AD114))</t>
  </si>
  <si>
    <t>=IF(AND(VALUE($F$22)&gt;399,VALUE($F$22)&lt;500),0,IF(OR($F$11="NO",AF$1="HIDE",AF$4="ACTUAL"),0,AF104+AF114))</t>
  </si>
  <si>
    <t>=IF(AND(VALUE($F$22)&gt;399,VALUE($F$22)&lt;500),0,IF(OR($F$11="NO",AH$1="HIDE",AH$4="ACTUAL"),0,AH104+AH114))</t>
  </si>
  <si>
    <t>=IF(AND(VALUE($F$22)&gt;399,VALUE($F$22)&lt;500),0,IF(OR($F$11="NO",AN$1="HIDE",AN$4="ACTUAL"),0,AN104+AN114))</t>
  </si>
  <si>
    <t>=IF(AND(VALUE($F$22)&gt;399,VALUE($F$22)&lt;500),0,IF(OR($F$11="NO",AP$1="HIDE",AP$4="ACTUAL"),0,AP104+AP114))</t>
  </si>
  <si>
    <t>=IF(OR($F$11="Yes",$AQ115&lt;&gt;0),"Show",IF($AQ115=0,"Hide","Show"))</t>
  </si>
  <si>
    <t>=B108</t>
  </si>
  <si>
    <t>=IF(AQ110=0,"Hide","Show")</t>
  </si>
  <si>
    <t>=NL("Rows", NL("Union", NL("allunique","G/L Entry",$E$20,$E$20,$E108,"Fund No.",$F$22,"Company=",$D$6,"Posting Date",$J$5),NL("allunique","G/L Budget Entry",$E$20,$E$20,$E108,"Fund Code",$F$22,"Company=",$D$6,"Date",$J$6)))</t>
  </si>
  <si>
    <t>=IF(K110="","399998",K110)</t>
  </si>
  <si>
    <t>=K110</t>
  </si>
  <si>
    <t>=IF($P110="","",NL("Rows","G/L Account","Name","No.",$P110,"Company=",$D$6))</t>
  </si>
  <si>
    <t>=IF($P110="",0,-ROUND(NL("SUM","G/L Entry","Amount","G/L Account No.",$P110,"Fund No.",$F$22,"Global Dimension 2 Code",$F$12,"Company=",$D$6,"Transaction Type",T$4,"Posting Date",T$3),0))</t>
  </si>
  <si>
    <t>=IF(OR(V$1="hide",$P110=""),0,-ROUND(NL("SUM","G/L Entry","Amount","G/L Account No.",$P110,"Fund No.",$F$22,"Global Dimension 2 Code",$F$12,"Company=",$D$6,"Transaction Type",V$4,"Posting Date",V$3),0))</t>
  </si>
  <si>
    <t>=IF(OR(X$1="hide",$P110=""),0,-ROUND(NL("SUM","G/L Entry","Amount","G/L Account No.",$P110,"Fund No.",$F$22,"Global Dimension 2 Code",$F$12,"Company=",$D$6,"Transaction Type",X$4,"Posting Date",X$3),0))</t>
  </si>
  <si>
    <t>=IF(OR(Z$1="hide",$P110=""),0,-ROUND(NL("SUM","G/L Entry","Amount","G/L Account No.",$P110,"Fund No.",$F$22,"Global Dimension 2 Code",$F$12,"Company=",$D$6,"Transaction Type",Z$4,"Posting Date",Z$3),0))</t>
  </si>
  <si>
    <t>=IF(OR(AB$1="hide",$P110=""),0,-ROUND(NL("SUM","G/L Entry","Amount","G/L Account No.",$P110,"Fund No.",$F$22,"Global Dimension 2 Code",$F$12,"Company=",$D$6,"Transaction Type",AB$4,"Posting Date",AB$3),0))</t>
  </si>
  <si>
    <t>=IF(OR(AD$1="hide",$P110=""),0,-ROUND(NL("SUM","G/L Entry","Amount","G/L Account No.",$P110,"Fund No.",$F$22,"Global Dimension 2 Code",$F$12,"Company=",$D$6,"Transaction Type",AD$4,"Posting Date",AD$3),0))</t>
  </si>
  <si>
    <t>=IF(OR(AF$1="hide",$P110=""),0,-ROUND(NL("SUM","G/L Entry","Amount","G/L Account No.",$P110,"Fund No.",$F$22,"Global Dimension 2 Code",$F$12,"Company=",$D$6,"Transaction Type",AF$4,"Posting Date",AF$3),0))</t>
  </si>
  <si>
    <t>=IF(OR(AH$1="hide",$P110=""),0,-ROUND(NL("SUM","G/L Entry","Amount","G/L Account No.",$P110,"Fund No.",$F$22,"Global Dimension 2 Code",$F$12,"Company=",$D$6,"Transaction Type",AH$4,"Posting Date",AH$3),0))</t>
  </si>
  <si>
    <t>=IF(ISERROR(AH110+AJ110),0,(AH110+AJ110))</t>
  </si>
  <si>
    <t>=IF($F$13="yes",0,IF($P110="",0,-ROUND(NL("SUM","G/L Budget Entry","Amount","Fund No.",$F$22,"G/L Account No.",$P110,"Company=",$D$6,"Global Dimension 2 Code",$F$12,"Date",$AN$3),0)))</t>
  </si>
  <si>
    <t>=IF($F$13="YES",AF110,AN110)</t>
  </si>
  <si>
    <t>=ABS(SUMIF(V110:AP110,"&gt;0")-SUMIF(V110:AP110,"&lt;0"))</t>
  </si>
  <si>
    <t>=IF(K111="","399998",K111)</t>
  </si>
  <si>
    <t>=K111</t>
  </si>
  <si>
    <t>=IF($P111="","",NL("Rows","G/L Account","Name","No.",$P111,"Company=",$D$6))</t>
  </si>
  <si>
    <t>=IF($P111="",0,-ROUND(NL("SUM","G/L Entry","Amount","G/L Account No.",$P111,"Fund No.",$F$22,"Global Dimension 2 Code",$F$12,"Company=",$D$6,"Transaction Type",T$4,"Posting Date",T$3),0))</t>
  </si>
  <si>
    <t>=IF(OR(V$1="hide",$P111=""),0,-ROUND(NL("SUM","G/L Entry","Amount","G/L Account No.",$P111,"Fund No.",$F$22,"Global Dimension 2 Code",$F$12,"Company=",$D$6,"Transaction Type",V$4,"Posting Date",V$3),0))</t>
  </si>
  <si>
    <t>=IF(OR(X$1="hide",$P111=""),0,-ROUND(NL("SUM","G/L Entry","Amount","G/L Account No.",$P111,"Fund No.",$F$22,"Global Dimension 2 Code",$F$12,"Company=",$D$6,"Transaction Type",X$4,"Posting Date",X$3),0))</t>
  </si>
  <si>
    <t>=IF(OR(Z$1="hide",$P111=""),0,-ROUND(NL("SUM","G/L Entry","Amount","G/L Account No.",$P111,"Fund No.",$F$22,"Global Dimension 2 Code",$F$12,"Company=",$D$6,"Transaction Type",Z$4,"Posting Date",Z$3),0))</t>
  </si>
  <si>
    <t>=IF(OR(AB$1="hide",$P111=""),0,-ROUND(NL("SUM","G/L Entry","Amount","G/L Account No.",$P111,"Fund No.",$F$22,"Global Dimension 2 Code",$F$12,"Company=",$D$6,"Transaction Type",AB$4,"Posting Date",AB$3),0))</t>
  </si>
  <si>
    <t>=IF(OR(AD$1="hide",$P111=""),0,-ROUND(NL("SUM","G/L Entry","Amount","G/L Account No.",$P111,"Fund No.",$F$22,"Global Dimension 2 Code",$F$12,"Company=",$D$6,"Transaction Type",AD$4,"Posting Date",AD$3),0))</t>
  </si>
  <si>
    <t>=IF(OR(AF$1="hide",$P111=""),0,-ROUND(NL("SUM","G/L Entry","Amount","G/L Account No.",$P111,"Fund No.",$F$22,"Global Dimension 2 Code",$F$12,"Company=",$D$6,"Transaction Type",AF$4,"Posting Date",AF$3),0))</t>
  </si>
  <si>
    <t>=IF(OR(AH$1="hide",$P111=""),0,-ROUND(NL("SUM","G/L Entry","Amount","G/L Account No.",$P111,"Fund No.",$F$22,"Global Dimension 2 Code",$F$12,"Company=",$D$6,"Transaction Type",AH$4,"Posting Date",AH$3),0))</t>
  </si>
  <si>
    <t>=IF(ISERROR(AH111+AJ111),0,(AH111+AJ111))</t>
  </si>
  <si>
    <t>=IF($F$13="yes",0,IF($P111="",0,-ROUND(NL("SUM","G/L Budget Entry","Amount","Fund No.",$F$22,"G/L Account No.",$P111,"Company=",$D$6,"Global Dimension 2 Code",$F$12,"Date",$AN$3),0)))</t>
  </si>
  <si>
    <t>=IF($F$13="YES",AF111,AN111)</t>
  </si>
  <si>
    <t>=SUM(T109:T113)</t>
  </si>
  <si>
    <t>=SUM(V109:V113)</t>
  </si>
  <si>
    <t>=SUM(X109:X113)</t>
  </si>
  <si>
    <t>=SUM(Z109:Z113)</t>
  </si>
  <si>
    <t>=SUM(AB109:AB113)</t>
  </si>
  <si>
    <t>=SUM(AD109:AD113)</t>
  </si>
  <si>
    <t>=SUM(AF109:AF113)</t>
  </si>
  <si>
    <t>=SUM(AH109:AH113)</t>
  </si>
  <si>
    <t>=SUM(AJ109:AJ113)</t>
  </si>
  <si>
    <t>=SUM(AL109:AL113)</t>
  </si>
  <si>
    <t>=SUM(AN109:AN113)</t>
  </si>
  <si>
    <t>=SUM(AP109:AP113)</t>
  </si>
  <si>
    <t>=IF(OR(T$4="ACTUAL",T$1="hide"),0,T$107)</t>
  </si>
  <si>
    <t>=IF(OR(V$4="ACTUAL",V$1="hide"),0,V$107)</t>
  </si>
  <si>
    <t>=IF(OR(X$4="ACTUAL",X$1="hide"),0,X$107)</t>
  </si>
  <si>
    <t>=IF(OR(Z$4="ACTUAL",Z$1="hide"),0,Z$107)</t>
  </si>
  <si>
    <t>=IF(OR(AB$4="ACTUAL",AB$1="hide"),0,AB$107)</t>
  </si>
  <si>
    <t>=IF(OR(AD$4="ACTUAL",AD$1="hide"),0,AD$107)</t>
  </si>
  <si>
    <t>=IF(OR(AF$4="ACTUAL",AF$1="hide"),0,AF$107)</t>
  </si>
  <si>
    <t>=IF(OR(AH$4="ACTUAL",AH$1="hide"),0,AH$107)</t>
  </si>
  <si>
    <t>=IF(OR(AJ$4="ACTUAL",AJ$1="hide"),0,AJ$107)</t>
  </si>
  <si>
    <t>=IF(OR(AN$4="ACTUAL",AN$1="hide"),0,AN$107)</t>
  </si>
  <si>
    <t>=IF(OR(AP$4="ACTUAL",AP$1="hide"),0,AP$107)</t>
  </si>
  <si>
    <t>=B117</t>
  </si>
  <si>
    <t>=IF(OR($F$11="Yes",$AQ117&lt;&gt;0),"Show",IF($AQ117=0,"Hide","Show"))</t>
  </si>
  <si>
    <t>=SUM(T114:T115)</t>
  </si>
  <si>
    <t>=SUM(V114:V115)</t>
  </si>
  <si>
    <t>=SUM(X114:X115)</t>
  </si>
  <si>
    <t>=SUM(Z114:Z115)</t>
  </si>
  <si>
    <t>=SUM(AB114:AB115)</t>
  </si>
  <si>
    <t>=SUM(AD114:AD115)</t>
  </si>
  <si>
    <t>=SUM(AF114:AF115)</t>
  </si>
  <si>
    <t>=SUM(AH114:AH115)</t>
  </si>
  <si>
    <t>=SUM(AJ114:AJ115)</t>
  </si>
  <si>
    <t>=SUM(AL114:AL115)</t>
  </si>
  <si>
    <t>=SUM(AN114:AN115)</t>
  </si>
  <si>
    <t>=SUM(AP114:AP115)</t>
  </si>
  <si>
    <t>=IF(T$4="ACTUAL",SUM(T117+T104),SUM(T117+T104+(IF(ABS(T107)&lt;0.49,0,-T107))))</t>
  </si>
  <si>
    <t>=IF(V$4="ACTUAL",SUM(V117+V104),SUM(V117+V104+(IF(ABS(V107)&lt;0.49,0,-V107))))</t>
  </si>
  <si>
    <t>=IF(X$4="ACTUAL",SUM(X117+X104),SUM(X117+X104+(IF(ABS(X107)&lt;0.49,0,-X107))))</t>
  </si>
  <si>
    <t>=IF(Z$4="ACTUAL",SUM(Z117+Z104),SUM(Z117+Z104+(IF(ABS(Z107)&lt;0.49,0,-Z107))))</t>
  </si>
  <si>
    <t>=IF(AB$4="ACTUAL",SUM(AB117+AB104),SUM(AB117+AB104+(IF(ABS(AB107)&lt;0.49,0,-AB107))))</t>
  </si>
  <si>
    <t>=IF(AD$4="ACTUAL",SUM(AD117+AD104),SUM(AD117+AD104+(IF(ABS(AD107)&lt;0.49,0,-AD107))))</t>
  </si>
  <si>
    <t>=IF(AF$4="ACTUAL",SUM(AF117+AF104),SUM(AF117+AF104+(IF(ABS(AF107)&lt;0.49,0,-AF107))))</t>
  </si>
  <si>
    <t>=IF(AH$4="ACTUAL",SUM(AH117+AH104),SUM(AH117+AH104+(IF(ABS(AH107)&lt;0.49,0,-AH107))))</t>
  </si>
  <si>
    <t>=IF(AJ$4="ACTUAL",SUM(AJ117+AJ104),SUM(AJ117+AJ104+(IF(ABS(AJ107)&lt;0.49,0,-AJ107))))</t>
  </si>
  <si>
    <t>=IF(AL$4="ACTUAL",SUM(AL117+AL104),SUM(AL117+AL104+(IF(ABS(AL107)&lt;0.49,0,-AL107))))</t>
  </si>
  <si>
    <t>=IF(AN$4="ACTUAL",SUM(AN117+AN104),SUM(AN117+AN104+(IF(ABS(AN107)&lt;0.49,0,-AN107))))</t>
  </si>
  <si>
    <t>=IF(AP$4="ACTUAL",SUM(AP117+AP104),SUM(AP117+AP104+(IF(ABS(AP107)&lt;0.49,0,-AP107))))</t>
  </si>
  <si>
    <t>=IF($O121="",0,ROUND(-NL("SUM","G/L Entry","Amount","G/L Account No.",$O121,"Fund No.",$F$22,"Company=",$D$6,"Global Dimension 2 Code",$F$12,"Transaction Type","Actual","Posting Date",T$3),0))</t>
  </si>
  <si>
    <t>=IF($O121="",0,IF(V$1="SHOW",ROUND(-NL("SUM","G/L Entry","Amount","G/L Account No.",$O121,"Fund No.",$F$22,"Company=",$D$6,"Global Dimension 2 Code",$F$12,"Transaction Type","Actual","Posting Date",V$3),0),0))</t>
  </si>
  <si>
    <t>=IF($O121="",0,IF(X$1="SHOW",ROUND(-NL("SUM","G/L Entry","Amount","G/L Account No.",$O121,"Fund No.",$F$22,"Company=",$D$6,"Global Dimension 2 Code",$F$12,"Transaction Type","Actual","Posting Date",X$3),0),0))</t>
  </si>
  <si>
    <t>=IF($O121="",0,IF(Z$1="SHOW",ROUND(-NL("SUM","G/L Entry","Amount","G/L Account No.",$O121,"Fund No.",$F$22,"Company=",$D$6,"Global Dimension 2 Code",$F$12,"Transaction Type","Actual","Posting Date",Z$3),0),0))</t>
  </si>
  <si>
    <t>=IF($O121="",0,IF(AB$1="SHOW",ROUND(-NL("SUM","G/L Entry","Amount","G/L Account No.",$O121,"Fund No.",$F$22,"Company=",$D$6,"Global Dimension 2 Code",$F$12,"Transaction Type","Actual","Posting Date",AB$3),0),0))</t>
  </si>
  <si>
    <t>=IF($O121="",0,IF(AD$1="SHOW",ROUND(-NL("SUM","G/L Entry","Amount","G/L Account No.",$O121,"Fund No.",$F$22,"Company=",$D$6,"Global Dimension 2 Code",$F$12,"Transaction Type","Actual","Posting Date",AD$3),0),0))</t>
  </si>
  <si>
    <t>=IF($O121="",0,IF(AF$1="SHOW",ROUND(-NL("SUM","G/L Entry","Amount","G/L Account No.",$O121,"Fund No.",$F$22,"Company=",$D$6,"Global Dimension 2 Code",$F$12,"Transaction Type","Actual","Posting Date",AF$3),0),0))</t>
  </si>
  <si>
    <t>=IF($O121="",0,IF(AH$1="SHOW",ROUND(-NL("SUM","G/L Entry","Amount","G/L Account No.",$O121,"Fund No.",$F$22,"Company=",$D$6,"Global Dimension 2 Code",$F$12,"Transaction Type","Actual","Posting Date",AH$3),0),0))</t>
  </si>
  <si>
    <t>=AH121+AJ121</t>
  </si>
  <si>
    <t>=AH122</t>
  </si>
  <si>
    <t>=$Z$155</t>
  </si>
  <si>
    <t>=ABS(T53)+ABS(T101)+ABS(T117)</t>
  </si>
  <si>
    <t>=ABS(V53)+ABS(V101)+ABS(V117)</t>
  </si>
  <si>
    <t>=ABS(X53)+ABS(X101)+ABS(X117)</t>
  </si>
  <si>
    <t>=ABS(Z53)+ABS(Z101)+ABS(Z117)</t>
  </si>
  <si>
    <t>=ABS(AB53)+ABS(AB101)+ABS(AB117)</t>
  </si>
  <si>
    <t>=ABS(AD53)+ABS(AD101)+ABS(AD117)</t>
  </si>
  <si>
    <t>=ABS(AF53)+ABS(AF101)+ABS(AF117)</t>
  </si>
  <si>
    <t>=ABS(AH53)+ABS(AH101)+ABS(AH117)</t>
  </si>
  <si>
    <t>=AH123+AJ123</t>
  </si>
  <si>
    <t>=IF($O124="",0,IF(AND(T$4="BUDGET",T$123=0),0,ROUND(-NL("SUM","G/L Entry","Amount","G/L Account No.",$O124,"Fund No.",$F$22,"Company=",$D$6,"Transaction Type","ACTUAL","Global Dimension 2 Code",$F$12,"Posting Date",T$5)+T121+T122,0)))</t>
  </si>
  <si>
    <t>=IF(V$1="Show",V126-V121-V119,0)</t>
  </si>
  <si>
    <t>=IF(X$1="Show",X126-X121-X119,0)</t>
  </si>
  <si>
    <t>=IF(Z$1="Show",Z126-Z121-Z119,0)</t>
  </si>
  <si>
    <t>=IF(AB$1="Show",AB126-AB121-AB119,0)</t>
  </si>
  <si>
    <t>=IF(OR($O124="",AD$1="HIDE"),0,IF(AND(AD$4="BUDGET",AD$123=0),0,ROUND(-NL("SUM","G/L Entry","Amount","G/L Account No.",$O124,"Fund No.",$F$22,"Company=",$D$6,"Transaction Type","ACTUAL","Global Dimension 2 Code",$F$12,"Posting Date",AD$5)+AD121+AD122,0)))</t>
  </si>
  <si>
    <t>=IF(OR($O124="",AF$1="HIDE"),0,IF(AND(AF$4="BUDGET",AF$123=0),0,AH124))</t>
  </si>
  <si>
    <t>=IF(OR($O124="",AH$1="HIDE"),0,IF(AND(AH$4="BUDGET",AH$123=0),0,ROUND(-NL("SUM","G/L Entry","Amount","G/L Account No.",$O124,"Fund No.",$F$22,"Company=",$D$6,"Transaction Type","ACTUAL","Global Dimension 2 Code",$F$12,"Posting Date",AH$5)+AH121+AH122,0)))</t>
  </si>
  <si>
    <t>=AL126</t>
  </si>
  <si>
    <t>=SUM(T119+T124)</t>
  </si>
  <si>
    <t>=IF(V$1="Hide",0,X124)</t>
  </si>
  <si>
    <t>=IF(X$1="Hide",0,Z124)</t>
  </si>
  <si>
    <t>=IF(Z$1="Hide",0,AB124)</t>
  </si>
  <si>
    <t>=IF(AB$1="Hide",0,AF124)</t>
  </si>
  <si>
    <t>=SUM(AD119+AD124)</t>
  </si>
  <si>
    <t>=SUM(AF119+AF124)</t>
  </si>
  <si>
    <t>=SUM(AH119+AH124)</t>
  </si>
  <si>
    <t>=SUM(AJ119+AJ124)</t>
  </si>
  <si>
    <t>=SUM(AL119+AL124)</t>
  </si>
  <si>
    <t>=SUM(AN119+AN124)</t>
  </si>
  <si>
    <t>=SUM(AP119+AP124)</t>
  </si>
  <si>
    <t>=SUM(AQ34:AQ126)</t>
  </si>
  <si>
    <t>=IF(T$1="HIDE",0,IF($P134="",0,-NL("SUM","G/L Entry","Amount","G/L Account No.",$P134,"Global Dimension 2 Code",$F$12,"Fund No.",$F$22,"Company=",$D$6,"Posting Date",T$3,"Transaction Type",T$4))-T53)</t>
  </si>
  <si>
    <t>=IF(V$1="HIDE",0,IF($P134="",0,-NL("SUM","G/L Entry","Amount","G/L Account No.",$P134,"Global Dimension 2 Code",$F$12,"Fund No.",$F$22,"Company=",$D$6,"Posting Date",V$3,"Transaction Type",V$4))-V53)</t>
  </si>
  <si>
    <t>=IF(X$1="HIDE",0,IF($P134="",0,-NL("SUM","G/L Entry","Amount","G/L Account No.",$P134,"Global Dimension 2 Code",$F$12,"Fund No.",$F$22,"Company=",$D$6,"Posting Date",X$3,"Transaction Type",X$4))-X53)</t>
  </si>
  <si>
    <t>=IF(Z$1="HIDE",0,IF($P134="",0,-NL("SUM","G/L Entry","Amount","G/L Account No.",$P134,"Global Dimension 2 Code",$F$12,"Fund No.",$F$22,"Company=",$D$6,"Posting Date",Z$3,"Transaction Type",Z$4))-Z53)</t>
  </si>
  <si>
    <t>=IF(AB$1="HIDE",0,IF($P134="",0,-NL("SUM","G/L Entry","Amount","G/L Account No.",$P134,"Global Dimension 2 Code",$F$12,"Fund No.",$F$22,"Company=",$D$6,"Posting Date",AB$3,"Transaction Type",AB$4))-AB53)</t>
  </si>
  <si>
    <t>=IF(AD$1="HIDE",0,IF($P134="",0,-NL("SUM","G/L Entry","Amount","G/L Account No.",$P134,"Global Dimension 2 Code",$F$12,"Fund No.",$F$22,"Company=",$D$6,"Posting Date",AD$3,"Transaction Type",AD$4))-AD53)</t>
  </si>
  <si>
    <t>=IF(AF$1="HIDE",0,IF($P134="",0,-NL("SUM","G/L Entry","Amount","G/L Account No.",$P134,"Global Dimension 2 Code",$F$12,"Fund No.",$F$22,"Company=",$D$6,"Posting Date",AF$3,"Transaction Type",AF$4))-AF53)</t>
  </si>
  <si>
    <t>=IF(AH$1="HIDE",0,IF($P134="",0,-NL("SUM","G/L Entry","Amount","G/L Account No.",$P134,"Global Dimension 2 Code",$F$12,"Fund No.",$F$22,"Company=",$D$6,"Posting Date",AH$3,"Transaction Type",AH$4))-AH53)</t>
  </si>
  <si>
    <t>=IF(T$1="HIDE",0,IF($P135="",0,NL("SUM","G/L Entry","Amount","G/L Account No.",$P135,"Global Dimension 2 Code",$F$12,"Fund No.",$F$22,"Company=",$D$6,"Posting Date",T$3,"Transaction Type",T$4))-T101-T59)</t>
  </si>
  <si>
    <t>=IF(V$1="HIDE",0,IF($P135="",0,NL("SUM","G/L Entry","Amount","G/L Account No.",$P135,"Global Dimension 2 Code",$F$12,"Fund No.",$F$22,"Company=",$D$6,"Posting Date",V$3,"Transaction Type",V$4))-V101-V59)</t>
  </si>
  <si>
    <t>=IF(X$1="HIDE",0,IF($P135="",0,NL("SUM","G/L Entry","Amount","G/L Account No.",$P135,"Global Dimension 2 Code",$F$12,"Fund No.",$F$22,"Company=",$D$6,"Posting Date",X$3,"Transaction Type",X$4))-X101-X59)</t>
  </si>
  <si>
    <t>=IF(Z$1="HIDE",0,IF($P135="",0,NL("SUM","G/L Entry","Amount","G/L Account No.",$P135,"Global Dimension 2 Code",$F$12,"Fund No.",$F$22,"Company=",$D$6,"Posting Date",Z$3,"Transaction Type",Z$4))-Z101-Z59)</t>
  </si>
  <si>
    <t>=IF(AB$1="HIDE",0,IF($P135="",0,NL("SUM","G/L Entry","Amount","G/L Account No.",$P135,"Global Dimension 2 Code",$F$12,"Fund No.",$F$22,"Company=",$D$6,"Posting Date",AB$3,"Transaction Type",AB$4))-AB101-AB59)</t>
  </si>
  <si>
    <t>=IF(AD$1="HIDE",0,IF($P135="",0,NL("SUM","G/L Entry","Amount","G/L Account No.",$P135,"Global Dimension 2 Code",$F$12,"Fund No.",$F$22,"Company=",$D$6,"Posting Date",AD$3,"Transaction Type",AD$4))-AD101-AD59)</t>
  </si>
  <si>
    <t>=IF(AF$1="HIDE",0,IF($P135="",0,NL("SUM","G/L Entry","Amount","G/L Account No.",$P135,"Global Dimension 2 Code",$F$12,"Fund No.",$F$22,"Company=",$D$6,"Posting Date",AF$3,"Transaction Type",AF$4))-AF101-AF59)</t>
  </si>
  <si>
    <t>=IF(AH$1="HIDE",0,IF($P135="",0,NL("SUM","G/L Entry","Amount","G/L Account No.",$P135,"Global Dimension 2 Code",$F$12,"Fund No.",$F$22,"Company=",$D$6,"Posting Date",AH$3,"Transaction Type",AH$4))-AH101-AH59)</t>
  </si>
  <si>
    <t>=IF(T$1="HIDE",0,IF($P136="",0,NL("SUM","G/L Entry","Amount","G/L Account No.",$P136,"Global Dimension 2 Code",$F$12,"Fund No.",$F$22,"Company=",$D$6,"Posting Date",T$3,"Transaction Type",T$4))+T117-T115)</t>
  </si>
  <si>
    <t>=IF(V$1="HIDE",0,IF($P136="",0,NL("SUM","G/L Entry","Amount","G/L Account No.",$P136,"Global Dimension 2 Code",$F$12,"Fund No.",$F$22,"Company=",$D$6,"Posting Date",V$3,"Transaction Type",V$4))+V117-V115)</t>
  </si>
  <si>
    <t>=IF(X$1="HIDE",0,IF($P136="",0,NL("SUM","G/L Entry","Amount","G/L Account No.",$P136,"Global Dimension 2 Code",$F$12,"Fund No.",$F$22,"Company=",$D$6,"Posting Date",X$3,"Transaction Type",X$4))+X117-X115)</t>
  </si>
  <si>
    <t>=IF(Z$1="HIDE",0,IF($P136="",0,NL("SUM","G/L Entry","Amount","G/L Account No.",$P136,"Global Dimension 2 Code",$F$12,"Fund No.",$F$22,"Company=",$D$6,"Posting Date",Z$3,"Transaction Type",Z$4))+Z117-Z115)</t>
  </si>
  <si>
    <t>=IF(AB$1="HIDE",0,IF($P136="",0,NL("SUM","G/L Entry","Amount","G/L Account No.",$P136,"Global Dimension 2 Code",$F$12,"Fund No.",$F$22,"Company=",$D$6,"Posting Date",AB$3,"Transaction Type",AB$4))+AB117-AB115)</t>
  </si>
  <si>
    <t>=IF(AD$1="HIDE",0,IF($P136="",0,NL("SUM","G/L Entry","Amount","G/L Account No.",$P136,"Global Dimension 2 Code",$F$12,"Fund No.",$F$22,"Company=",$D$6,"Posting Date",AD$3,"Transaction Type",AD$4))+AD117-AD115)</t>
  </si>
  <si>
    <t>=IF(AF$1="HIDE",0,IF($P136="",0,NL("SUM","G/L Entry","Amount","G/L Account No.",$P136,"Global Dimension 2 Code",$F$12,"Fund No.",$F$22,"Company=",$D$6,"Posting Date",AF$3,"Transaction Type",AF$4))+AF117-AF115)</t>
  </si>
  <si>
    <t>=IF(AH$1="HIDE",0,IF($P136="",0,NL("SUM","G/L Entry","Amount","G/L Account No.",$P136,"Global Dimension 2 Code",$F$12,"Fund No.",$F$22,"Company=",$D$6,"Posting Date",AH$3,"Transaction Type",AH$4))+AH117-AH115)</t>
  </si>
  <si>
    <t>=IF(T$1="SHOW",IF(OR($P137="",T$4="BUDGET"),0,-T126-ROUND(NL("SUM","G/L Entry","Amount","G/L Account No.",$P137,"Global Dimension 2 Code",$F$12,"Fund No.",$F$22,"Company=",$D$6,"Transaction Type",T$4,"Posting Date",T$2),0)),0)</t>
  </si>
  <si>
    <t>=IF(V$1="SHOW",IF(OR($P137="",V$4="BUDGET"),0,-V126-ROUND(NL("SUM","G/L Entry","Amount","G/L Account No.",$P137,"Global Dimension 2 Code",$F$12,"Fund No.",$F$22,"Company=",$D$6,"Transaction Type",V$4,"Posting Date",V$2),0)),0)</t>
  </si>
  <si>
    <t>=IF(X$1="SHOW",IF(OR($P137="",X$4="BUDGET"),0,-X126-ROUND(NL("SUM","G/L Entry","Amount","G/L Account No.",$P137,"Global Dimension 2 Code",$F$12,"Fund No.",$F$22,"Company=",$D$6,"Transaction Type",X$4,"Posting Date",X$2),0)),0)</t>
  </si>
  <si>
    <t>=IF(Z$1="SHOW",IF(OR($P137="",Z$4="BUDGET"),0,-Z126-ROUND(NL("SUM","G/L Entry","Amount","G/L Account No.",$P137,"Global Dimension 2 Code",$F$12,"Fund No.",$F$22,"Company=",$D$6,"Transaction Type",Z$4,"Posting Date",Z$2),0)),0)</t>
  </si>
  <si>
    <t>=IF(AB$1="SHOW",IF(OR($P137="",AB$4="BUDGET"),0,-AB126-ROUND(NL("SUM","G/L Entry","Amount","G/L Account No.",$P137,"Global Dimension 2 Code",$F$12,"Fund No.",$F$22,"Company=",$D$6,"Transaction Type",AB$4,"Posting Date",AB$2),0)),0)</t>
  </si>
  <si>
    <t>=IF(AD$1="SHOW",IF(OR($P137="",AD$4="BUDGET"),0,-AD126-ROUND(NL("SUM","G/L Entry","Amount","G/L Account No.",$P137,"Global Dimension 2 Code",$F$12,"Fund No.",$F$22,"Company=",$D$6,"Transaction Type",AD$4,"Posting Date",AD$2),0)),0)</t>
  </si>
  <si>
    <t>=IF(AF$1="SHOW",IF(OR($P137="",AF$4="BUDGET"),0,-AF126-ROUND(NL("SUM","G/L Entry","Amount","G/L Account No.",$P137,"Global Dimension 2 Code",$F$12,"Fund No.",$F$22,"Company=",$D$6,"Transaction Type",AF$4,"Posting Date",AF$2),0)),0)</t>
  </si>
  <si>
    <t>=IF(AH$1="SHOW",IF(OR($P137="",AH$4="BUDGET"),0,-AH126-ROUND(NL("SUM","G/L Entry","Amount","G/L Account No.",$P137,"Global Dimension 2 Code",$F$12,"Fund No.",$F$22,"Company=",$D$6,"Transaction Type",AH$4,"Posting Date",AH$2),0)),0)</t>
  </si>
  <si>
    <t>=IF(COUNTIF(V139:AP139,"ERROR")=0,"Hide","Show")</t>
  </si>
  <si>
    <t>=COUNTIF(V139:AP139,"ERROR")</t>
  </si>
  <si>
    <t>=IF(OR(ABS(V134)&gt;10,ABS(V135)&gt;10,ABS(V136)&gt;10,ABS(V137)&gt;10),"ERROR","")</t>
  </si>
  <si>
    <t>=IF(OR(ABS(X134)&gt;10,ABS(X135)&gt;10,ABS(X136)&gt;10,ABS(X137)&gt;10),"ERROR","")</t>
  </si>
  <si>
    <t>=IF(OR(ABS(Z134)&gt;10,ABS(Z135)&gt;10,ABS(Z136)&gt;10,ABS(Z137)&gt;10),"ERROR","")</t>
  </si>
  <si>
    <t>=IF(OR(ABS(AB134)&gt;10,ABS(AB135)&gt;10,ABS(AB136)&gt;10,ABS(AB137)&gt;10),"ERROR","")</t>
  </si>
  <si>
    <t>=IF(OR(ABS(AD134)&gt;10,ABS(AD135)&gt;10,ABS(AD136)&gt;10,ABS(AD137)&gt;10),"ERROR","")</t>
  </si>
  <si>
    <t>=IF(OR(ABS(AF134)&gt;10,ABS(AF135)&gt;10,ABS(AF136)&gt;10,ABS(AF137)&gt;10),"ERROR","")</t>
  </si>
  <si>
    <t>=IF(OR(ABS(AH134)&gt;10,ABS(AH135)&gt;10,ABS(AH136)&gt;10,ABS(AH137)&gt;10),"ERROR","")</t>
  </si>
  <si>
    <t>=IF(OR(ABS(AN134)&gt;10,ABS(AN135)&gt;10,ABS(AN136)&gt;10,ABS(AN137)&gt;10),"ERROR","")</t>
  </si>
  <si>
    <t>=T126</t>
  </si>
  <si>
    <t>=IF(AD$1="HIDE",0,IF($P142="",0,-NL("SUM","G/L Entry","Amount","G/L Account No.",$P142,"Global Dimension 2 Code",$F$12,"Fund No.",$F$22,"Company=",$D$6,"Posting Date",AD$3,AD$7,AD$8,"Transaction Type",AD$4)))</t>
  </si>
  <si>
    <t>=IF(AF$1="HIDE",0,IF($P142="",0,-NL("SUM","G/L Entry","Amount","G/L Account No.",$P142,"Global Dimension 2 Code",$F$12,"Fund No.",$F$22,"Company=",$D$6,"Posting Date",AF$3,AF$7,AF$8,"Transaction Type",AF$4)))</t>
  </si>
  <si>
    <t>=IF(AD$1="HIDE",0,IF($P143="",0,NL("SUM","G/L Entry","Amount","G/L Account No.",$P143,"Global Dimension 2 Code",$F$12,"Fund No.",$F$22,"Company=",$D$6,"Posting Date",AD$3,"Transaction Type",AD$4,AD$7,AD$8)))</t>
  </si>
  <si>
    <t>=IF(AF$1="HIDE",0,IF($P143="",0,NL("SUM","G/L Entry","Amount","G/L Account No.",$P143,"Global Dimension 2 Code",$F$12,"Fund No.",$F$22,"Company=",$D$6,"Posting Date",AF$3,"Transaction Type",AF$4,AF$7,AF$8)))</t>
  </si>
  <si>
    <t>=T143-T142</t>
  </si>
  <si>
    <t>=IF(AD$1="HIDE",0,IF($P144="",0,NL("SUM","G/L Entry","Amount","G/L Account No.",$P144,"Global Dimension 2 Code",$F$12,"Fund No.",$F$22,"Company=",$D$6,"Posting Date",AD$3,"Transaction Type",AD$4,AD$7,AD$8)))</t>
  </si>
  <si>
    <t>=IF(AF$1="HIDE",0,IF($P144="",0,NL("SUM","G/L Entry","Amount","G/L Account No.",$P144,"Global Dimension 2 Code",$F$12,"Fund No.",$F$22,"Company=",$D$6,"Posting Date",AF$3,"Transaction Type",AF$4,AF$7,AF$8)))</t>
  </si>
  <si>
    <t>=ABS(AD142)+ABS(AD143)+ABS(AD144)</t>
  </si>
  <si>
    <t>=ABS(AF142)+ABS(AF143)+ABS(AF144)</t>
  </si>
  <si>
    <t>=-ROUND(NL("SUM","G/L Entry","Amount","G/L Account No.",$P148,"Fund No.",$F$22,"Company=",$D$6,"Transaction Type","ACTUAL","Global Dimension 2 Code",$F$12,"Posting Date",$J$4),0)</t>
  </si>
  <si>
    <t>=IF($X148=0,0,$AB148)</t>
  </si>
  <si>
    <t>=T144</t>
  </si>
  <si>
    <t>=IF($C$9=0,0,ROUND(NL("SUM","G/L Entry","Amount","G/L Account No.",$P149,"Fund No.",$F$22,"Company=",$D$6,"Transaction Type","ACTUAL","Global Dimension 1 Code",$V149,"Global Dimension 2 Code",$F$12,"Posting Date",$J$4),0))</t>
  </si>
  <si>
    <t>=IF($X149=0,0,IF($Z148=0,$AB149,0))</t>
  </si>
  <si>
    <t>=$AB148</t>
  </si>
  <si>
    <t>=IF($C$9=0,0,ROUND(NL("SUM","G/L Entry","Amount","G/L Account No.",$P150,"Fund No.",$F$22,"Company=",$D$6,"Transaction Type","ACTUAL","Global Dimension 1 Code",$V150,"Global Dimension 2 Code",$F$12,"Posting Date",$J$4),0))</t>
  </si>
  <si>
    <t>=IF($X150=0,0,IF(SUM($Z148:$Z149)=0,$AB150,0))</t>
  </si>
  <si>
    <t>=$AB149</t>
  </si>
  <si>
    <t>=IF($C$9=0,0,ROUND(NL("SUM","G/L Entry","Amount","G/L Account No.",$P151,"Fund No.",$F$22,"Company=",$D$6,"Transaction Type","ACTUAL","Global Dimension 1 Code",$V151,"Global Dimension 2 Code",$F$12,"Posting Date",$J$4),0))</t>
  </si>
  <si>
    <t>=IF($X151=0,0,IF(SUM($Z148:$Z150)=0,$AB151,0))</t>
  </si>
  <si>
    <t>=$AB150</t>
  </si>
  <si>
    <t>=P151+1</t>
  </si>
  <si>
    <t>=IF($X152=0,0,IF(SUM($Z148:$Z151)=0,$AB152,0))</t>
  </si>
  <si>
    <t>=P152+1</t>
  </si>
  <si>
    <t>=IF($X153=0,0,IF(SUM($Z148:$Z152)=0,$AB153,0))</t>
  </si>
  <si>
    <t>=P153+1</t>
  </si>
  <si>
    <t>=IF($X154=0,0,IF(SUM($Z148:$Z153)=0,$AB154,0))</t>
  </si>
  <si>
    <t>=IF(SUM($Z148:$Z154)=0,$AB155,0)</t>
  </si>
  <si>
    <t>Auto+Hide+Values+Formulas=Sheet15,Sheet13,Sheet14+AutoSheet+FormulasOnly</t>
  </si>
  <si>
    <t>=IF(AQ130=0,"hidesheet","Hide")</t>
  </si>
  <si>
    <t>=IF(AD147=0,"ADOPTED","AMENDED")</t>
  </si>
  <si>
    <t>=IF(AF147=0,"ADOPTED","AMENDED")</t>
  </si>
  <si>
    <t>=IF(R141=0,IF(AND($F$22&gt;"399",$F$22&lt;"500"),"OPERATING REVENUES","REVENUES"),"THIS REPORT HAS AN ERROR, THIS REPORT HAS AN ERROR, THIS REPORT HAS AN ERROR")</t>
  </si>
  <si>
    <t>=IF(OR(AH$1="hide",$P38=""),0,ROUND(-NL("SUM","G/L Entry","Amount","G/L Account No.",$P38,"Fund No.",$F$22,"Global Dimension 2 Code",$F$12,"Company=",$D$6,"Transaction Type",AH$4,"Posting Date",AH$3)+$Z150,0))</t>
  </si>
  <si>
    <t>=NL("Rows=6","G/L Entry","Global Dimension 2 Code","G/L Account No.",$E$44,"Global Dimension 2 Code",$F$12,"Fund No.",$F$22,"Company=",$D$6,"Posting Date",$J$5)</t>
  </si>
  <si>
    <t>=B49</t>
  </si>
  <si>
    <t>=IF(I45="","9999999",I45)</t>
  </si>
  <si>
    <t>=NL("Rows","Dimension Value","Name","Code","@@"&amp;$I46,"Dimension Code","SUBACCT","Company=",$D$6)</t>
  </si>
  <si>
    <t>=NL("Rows", NL("Union", NL("allunique","G/L Entry",$E$20,$E$20,$E$44,"Fund No.",$F$22,$E$23,$I47,"Company=",$D$6,"Posting Date",$J$5),NL("allunique","G/L Budget Entry",$E$20,$E$20,$E$44,"Fund Code",$F$22,$E$23,$I47,"Company=",$D$6,"Date",$J$6)))</t>
  </si>
  <si>
    <t>=K47 &amp;" "&amp;I47</t>
  </si>
  <si>
    <t>=IF($P47="",0,ROUND(-NL("SUM","G/L Entry","Amount","G/L Account No.",$P47,"Fund No.",$F$22,"Global Dimension 2 Code",$I47,"Company=",$D$6,"Transaction Type",T$4,"Posting Date",T$3),0))</t>
  </si>
  <si>
    <t>=IF(OR(V$1="hide",$P47=""),0,ROUND(-NL("SUM","G/L Entry","Amount","G/L Account No.",$P47,"Fund No.",$F$22,"Global Dimension 2 Code",$I47,"Company=",$D$6,"Transaction Type",V$4,"Posting Date",V$3),0))</t>
  </si>
  <si>
    <t>=IF(OR(X$1="hide",$P47=""),0,ROUND(-NL("SUM","G/L Entry","Amount","G/L Account No.",$P47,"Fund No.",$F$22,"Global Dimension 2 Code",I47,"Company=",$D$6,"Transaction Type",X$4,"Posting Date",X$3),0))</t>
  </si>
  <si>
    <t>=IF(OR(Z$1="hide",$P47=""),0,ROUND(-NL("SUM","G/L Entry","Amount","G/L Account No.",$P47,"Fund No.",$F$22,"Global Dimension 2 Code",$I47,"Company=",$D$6,"Transaction Type",Z$4,"Posting Date",Z$3),0))</t>
  </si>
  <si>
    <t>=IF(OR(AB$1="hide",$P47=""),0,ROUND(-NL("SUM","G/L Entry","Amount","G/L Account No.",$P47,"Fund No.",$F$22,"Global Dimension 2 Code",$I47,"Company=",$D$6,"Transaction Type",AB$4,"Posting Date",AB$3),0))</t>
  </si>
  <si>
    <t>=IF(OR(AD$1="hide",$P47=""),0,ROUND(-NL("SUM","G/L Entry","Amount","G/L Account No.",$P47,"Fund No.",$F$22,"Global Dimension 2 Code",$I47,"Company=",$D$6,"Transaction Type",AD$4,"Posting Date",AD$3),0))</t>
  </si>
  <si>
    <t>=IF(OR(AF$1="hide",$P47=""),0,ROUND(-NL("SUM","G/L Entry","Amount","G/L Account No.",$P47,"Fund No.",$F$22,"Global Dimension 2 Code",$I47,"Company=",$D$6,"Transaction Type",AF$4,"Posting Date",AF$3),0))</t>
  </si>
  <si>
    <t>=IF(OR(AH$1="hide",$P47=""),0,ROUND(-NL("SUM","G/L Entry","Amount","G/L Account No.",$P47,"Fund No.",$F$22,"Global Dimension 2 Code",$I47,"Company=",$D$6,"Transaction Type",AH$4,"Posting Date",AH$3),0))</t>
  </si>
  <si>
    <t>=IF($F$13="yes",0,IF($P47="",0,-ROUND(NL("SUM","G/L Budget Entry","Amount","Fund No.",$F$22,"G/L Account No.",$P47,"Company=",$D$6,"Global Dimension 2 Code",$I47,"Date",$AN$3),0)))</t>
  </si>
  <si>
    <t>=SUM(T46:T48)</t>
  </si>
  <si>
    <t>=SUM(V46:V48)</t>
  </si>
  <si>
    <t>=SUM(X46:X48)</t>
  </si>
  <si>
    <t>=SUM(Z46:Z48)</t>
  </si>
  <si>
    <t>=SUM(AB46:AB48)</t>
  </si>
  <si>
    <t>=SUM(AD46:AD48)</t>
  </si>
  <si>
    <t>=SUM(AF46:AF48)</t>
  </si>
  <si>
    <t>=SUM(AH46:AH48)</t>
  </si>
  <si>
    <t>=SUM(AJ46:AJ48)</t>
  </si>
  <si>
    <t>=SUM(AL46:AL48)</t>
  </si>
  <si>
    <t>=SUM(AN46:AN48)</t>
  </si>
  <si>
    <t>=SUM(AP46:AP48)</t>
  </si>
  <si>
    <t>=SUM(T37:T43)+SUM(AU47:AU51)</t>
  </si>
  <si>
    <t>=SUM(V37:V43)+SUM(AV47:AV51)</t>
  </si>
  <si>
    <t>=SUM(X37:X43)+SUM(AW47:AW51)</t>
  </si>
  <si>
    <t>=SUM(Z37:Z43)+SUM(AX47:AX51)</t>
  </si>
  <si>
    <t>=SUM(AB37:AB43)+SUM(AY47:AY51)</t>
  </si>
  <si>
    <t>=SUM(AD37:AD43)+SUM(AZ47:AZ51)</t>
  </si>
  <si>
    <t>=SUM(AF37:AF43)+SUM(BA47:BA51)</t>
  </si>
  <si>
    <t>=SUM(AH37:AH43)+SUM(BB47:BB51)</t>
  </si>
  <si>
    <t>=SUM(AJ37:AJ43)+SUM(BC47:BC51)</t>
  </si>
  <si>
    <t>=SUM(AL37:AL43)+SUM(BD47:BD51)</t>
  </si>
  <si>
    <t>=SUM(AN37:AN43)+SUM(BE47:BE51)</t>
  </si>
  <si>
    <t>=SUM(AP37:AP43)+SUM(BF47:BF51)</t>
  </si>
  <si>
    <t>=IF(AQ56=0,"Hide","Show")</t>
  </si>
  <si>
    <t>=NL("Rows", NL("Union", NL("allunique","G/L Entry",$E$20,$E$20,$E54,"Fund No.",$F$22,"Company=",$D$6,"Posting Date",$J$5),NL("allunique","G/L Budget Entry",$E$20,$E$20,$E54,"Fund Code",$F$22,"Company=",$D$6,"Date",$J$6)))</t>
  </si>
  <si>
    <t>=IF(K56="","500000 50000",K56&amp;" "&amp;"50000")</t>
  </si>
  <si>
    <t>=K56</t>
  </si>
  <si>
    <t>=IF($P56="","",(NL("Rows","G/L Account","Name","No.",$P56,"Company=",$D$6)))</t>
  </si>
  <si>
    <t>=IF(OR($F$14="no",$P56=""),0,ROUND(NL("SUM","G/L Entry","Amount","G/L Account No.",$P56,"Fund No.",$F$22,"Global Dimension 2 Code",$F$12,"Company=",$D$6,"Transaction Type",T$4,"Posting Date",T$3),0))</t>
  </si>
  <si>
    <t>=IF(OR(V$1="hide",$F$14="no",$P56=""),0,ROUND(NL("SUM","G/L Entry","Amount","G/L Account No.",$P56,"Fund No.",$F$22,"Global Dimension 2 Code",$F$12,"Company=",$D$6,"Transaction Type",V$4,"Posting Date",V$3),0))</t>
  </si>
  <si>
    <t>=IF(OR(X$1="hide",$F$14="no",$P56=""),0,ROUND(NL("SUM","G/L Entry","Amount","G/L Account No.",$P56,"Fund No.",$F$22,"Global Dimension 2 Code",$F$12,"Company=",$D$6,"Transaction Type",X$4,"Posting Date",X$3),0))</t>
  </si>
  <si>
    <t>=IF(OR(Z$1="hide",$F$14="no",$P56=""),0,ROUND(NL("SUM","G/L Entry","Amount","G/L Account No.",$P56,"Fund No.",$F$22,"Global Dimension 2 Code",$F$12,"Company=",$D$6,"Transaction Type",Z$4,"Posting Date",Z$3),0))</t>
  </si>
  <si>
    <t>=IF(OR(AB$1="hide",$F$14="no",$P56=""),0,ROUND(NL("SUM","G/L Entry","Amount","G/L Account No.",$P56,"Fund No.",$F$22,"Global Dimension 2 Code",$F$12,"Company=",$D$6,"Transaction Type",AB$4,"Posting Date",AB$3),0))</t>
  </si>
  <si>
    <t>=IF(OR(AD$1="hide",$F$14="no",$P56=""),0,ROUND(NL("SUM","G/L Entry","Amount","G/L Account No.",$P56,"Fund No.",$F$22,"Global Dimension 2 Code",$F$12,"Company=",$D$6,"Transaction Type",AD$4,"Posting Date",AD$3),0))</t>
  </si>
  <si>
    <t>=IF(OR(AF$1="hide",$F$14="no",$P56=""),0,ROUND(NL("SUM","G/L Entry","Amount","G/L Account No.",$P56,"Fund No.",$F$22,"Global Dimension 2 Code",$F$12,"Company=",$D$6,"Transaction Type",AF$4,"Posting Date",AF$3),0))</t>
  </si>
  <si>
    <t>=IF(OR(AH$1="hide",$F$14="no",$P56=""),0,SUM(ROUND(NL("SUM","G/L Entry","Amount","G/L Account No.",$P56,"Fund No.",$F$22,"Global Dimension 2 Code",$F$12,"Company=",$D$6,"Transaction Type",AH$4,"Posting Date",AH$3),0),IF($P56="549001",-$AH$70,IF($P56="549900",-$AH$70,0))))</t>
  </si>
  <si>
    <t>=IF(ISERROR(AH56+AJ56),0,(AH56+AJ56))</t>
  </si>
  <si>
    <t>=IF(OR($F$14="no",$F$13="yes"),0,IF($P56="",0,ROUND(NL("SUM","G/L Budget Entry","Amount","Fund No.",$F$22,"G/L Account No.",$P56,"Company=",$D$6,"Global Dimension 2 Code",$F$12,"Date",$AN$3),0)))</t>
  </si>
  <si>
    <t>=IF($F$13="YES",AF56,AN56)</t>
  </si>
  <si>
    <t>=ABS(SUMIF(V56:AP56,"&gt;0")-SUMIF(V56:AP56,"&lt;0"))</t>
  </si>
  <si>
    <t>=SUM(T55:T57)</t>
  </si>
  <si>
    <t>=SUM(V55:V57)</t>
  </si>
  <si>
    <t>=SUM(X55:X57)</t>
  </si>
  <si>
    <t>=SUM(Z55:Z57)</t>
  </si>
  <si>
    <t>=SUM(AB55:AB57)</t>
  </si>
  <si>
    <t>=SUM(AD55:AD57)</t>
  </si>
  <si>
    <t>=SUM(AF55:AF57)</t>
  </si>
  <si>
    <t>=SUM(AH55:AH57)</t>
  </si>
  <si>
    <t>=SUM(AJ55:AJ57)</t>
  </si>
  <si>
    <t>=SUM(AL55:AL57)</t>
  </si>
  <si>
    <t>=SUM(AN55:AN57)</t>
  </si>
  <si>
    <t>=SUM(AP55:AP57)</t>
  </si>
  <si>
    <t>=B58</t>
  </si>
  <si>
    <t>=IF(OR(VALUE($F$22)&lt;=399,VALUE($F$22)&gt;499,$F$14="NO"),0,T52-T58)</t>
  </si>
  <si>
    <t>=IF(OR(VALUE($F$22)&lt;=399,VALUE($F$22)&gt;499,$F$14="NO"),0,V52-V58)</t>
  </si>
  <si>
    <t>=IF(OR(VALUE($F$22)&lt;=399,VALUE($F$22)&gt;499,$F$14="NO"),0,X52-X58)</t>
  </si>
  <si>
    <t>=IF(OR(VALUE($F$22)&lt;=399,VALUE($F$22)&gt;499,$F$14="NO"),0,Z52-Z58)</t>
  </si>
  <si>
    <t>=IF(OR(VALUE($F$22)&lt;=399,VALUE($F$22)&gt;499,$F$14="NO"),0,AB52-AB58)</t>
  </si>
  <si>
    <t>=IF(OR(VALUE($F$22)&lt;=399,VALUE($F$22)&gt;499,$F$14="NO"),0,AD52-AD58)</t>
  </si>
  <si>
    <t>=IF(OR(VALUE($F$22)&lt;=399,VALUE($F$22)&gt;499,$F$14="NO"),0,AF52-AF58)</t>
  </si>
  <si>
    <t>=IF(OR(VALUE($F$22)&lt;=399,VALUE($F$22)&gt;499,$F$14="NO"),0,AH52-AH58)</t>
  </si>
  <si>
    <t>=IF(OR(VALUE($F$22)&lt;=399,VALUE($F$22)&gt;499,$F$14="NO"),0,AJ52-AJ58)</t>
  </si>
  <si>
    <t>=IF(OR(VALUE($F$22)&lt;=399,VALUE($F$22)&gt;499,$F$14="NO"),0,AL52-AL58)</t>
  </si>
  <si>
    <t>=IF(OR(VALUE($F$22)&lt;=399,VALUE($F$22)&gt;499,$F$14="NO"),0,AN52-AN58)</t>
  </si>
  <si>
    <t>=IF(OR(VALUE($F$22)&lt;=399,VALUE($F$22)&gt;499,$F$14="NO"),0,AP52-AP58)</t>
  </si>
  <si>
    <t>=B68</t>
  </si>
  <si>
    <t>=IF(AQ66=0,"Hide","Show")</t>
  </si>
  <si>
    <t>=NL("Rows", NL("Union", NL("allunique","G/L Entry",$E$20,$E$20,$E65,"Fund No.",$F$22,$E$21,$H65,"Company=",$D$6,"Posting Date",$J$5),NL("allunique","G/L Budget Entry",$E$20,$E$20,$E65,"Fund Code",$F$22,$E$21,$H65,"Company=",$D$6,"Date",$J$6)))</t>
  </si>
  <si>
    <t>=IF(K66="","500000 51699",K66&amp;" "&amp;"51699")</t>
  </si>
  <si>
    <t>=K66</t>
  </si>
  <si>
    <t>=IF($P66="","",(NL("Rows","G/L Account","Name","No.",$P66,"Company=",$D$6)))</t>
  </si>
  <si>
    <t>=IF($P66="",0,ROUND(NL("SUM","G/L Entry","Amount","G/L Account No.",$P66,"Fund No.",$F$22,"Global Dimension 2 Code",$F$12,"Global Dimension 1 Code",$H$65,"Company=",$D$6,"Transaction Type",T$4,"Posting Date",T$3),0))</t>
  </si>
  <si>
    <t>=IF(OR(V$1="hide",$P66=""),0,ROUND(NL("SUM","G/L Entry","Amount","G/L Account No.",$P66,"Fund No.",$F$22,"Global Dimension 2 Code",$F$12,"Global Dimension 1 Code",$H$65,"Company=",$D$6,"Transaction Type",V$4,"Posting Date",V$3),0))</t>
  </si>
  <si>
    <t>=IF(OR(X$1="hide",$P66=""),0,ROUND(NL("SUM","G/L Entry","Amount","G/L Account No.",$P66,"Fund No.",$F$22,"Global Dimension 2 Code",$F$12,"Global Dimension 1 Code",$H$65,"Company=",$D$6,"Transaction Type",X$4,"Posting Date",X$3),0))</t>
  </si>
  <si>
    <t>=IF(OR(Z$1="hide",$P66=""),0,ROUND(NL("SUM","G/L Entry","Amount","G/L Account No.",$P66,"Fund No.",$F$22,"Global Dimension 2 Code",$F$12,"Global Dimension 1 Code",$H$65,"Company=",$D$6,"Transaction Type",Z$4,"Posting Date",Z$3),0))</t>
  </si>
  <si>
    <t>=IF(OR(AB$1="hide",$P66=""),0,ROUND(NL("SUM","G/L Entry","Amount","G/L Account No.",$P66,"Fund No.",$F$22,"Global Dimension 2 Code",$F$12,"Global Dimension 1 Code",$H$65,"Company=",$D$6,"Transaction Type",AB$4,"Posting Date",AB$3),0))</t>
  </si>
  <si>
    <t>=IF(OR(AD$1="hide",$P66=""),0,ROUND(NL("SUM","G/L Entry","Amount","G/L Account No.",$P66,"Fund No.",$F$22,"Global Dimension 2 Code",$F$12,"Global Dimension 1 Code",$H$65,"Company=",$D$6,"Transaction Type",AD$4,"Posting Date",AD$3),0))</t>
  </si>
  <si>
    <t>=IF(OR(AF$1="hide",$P66=""),0,ROUND(NL("SUM","G/L Entry","Amount","G/L Account No.",$P66,"Fund No.",$F$22,"Global Dimension 2 Code",$F$12,"Global Dimension 1 Code",$H$65,"Company=",$D$6,"Transaction Type",AF$4,"Posting Date",AF$3),0))</t>
  </si>
  <si>
    <t>=IF(OR(AH$1="hide",$P66=""),0,SUM(ROUND(NL("SUM","G/L Entry","Amount","G/L Account No.",$P66,"Fund No.",$F$22,"Global Dimension 2 Code",$F$12,"Global Dimension 1 Code",$H$65,"Company=",$D$6,"Transaction Type",AH$4,"Posting Date",AH$3),0),IF($P66="549001",-$AH$70,IF($P66="549900",-$AH$70,0))))</t>
  </si>
  <si>
    <t>=IF(ISERROR(AH66+AJ66),0,(AH66+AJ66))</t>
  </si>
  <si>
    <t>=IF($F$13="yes",0,IF($P66="",0,ROUND(NL("SUM","G/L Budget Entry","Amount","Fund No.",$F$22,"G/L Account No.",$P66,"Global Dimension 1 Code",$H$65,"Company=",$D$6,"Global Dimension 2 Code",$F$12,"Date",$AN$3),0)))</t>
  </si>
  <si>
    <t>=IF($F$13="YES",AF66,AN66)</t>
  </si>
  <si>
    <t>=ABS(SUMIF(V66:AP66,"&gt;0")-SUMIF(V66:AP66,"&lt;0"))</t>
  </si>
  <si>
    <t>="Total "&amp;R64</t>
  </si>
  <si>
    <t>=SUM(T66:T67)</t>
  </si>
  <si>
    <t>=SUM(V66:V67)</t>
  </si>
  <si>
    <t>=SUM(X66:X67)</t>
  </si>
  <si>
    <t>=SUM(Z66:Z67)</t>
  </si>
  <si>
    <t>=SUM(AB66:AB67)</t>
  </si>
  <si>
    <t>=SUM(AD66:AD67)</t>
  </si>
  <si>
    <t>=SUM(AF66:AF67)</t>
  </si>
  <si>
    <t>=SUM(AH66:AH67)</t>
  </si>
  <si>
    <t>=SUM(AJ66:AJ67)</t>
  </si>
  <si>
    <t>=SUM(AL66:AL67)</t>
  </si>
  <si>
    <t>=SUM(AN66:AN67)</t>
  </si>
  <si>
    <t>=SUM(AP66:AP67)</t>
  </si>
  <si>
    <t>=$Z$151+$Z$152</t>
  </si>
  <si>
    <t>=NL("Rows=6", NL("Union", NL("allunique","G/L Entry",$E$21,$E$20,$E$70,$E$21,$H$70,"Fund No.",F$22,"Company=",$D$6,"Posting Date",$J$5),NL("allunique","G/L Budget Entry",$E$21,$E$20,$E$70,$E$21,$H$70,"Fund Code",F$22,"Company=",$D$6,"Date",$J$6)))</t>
  </si>
  <si>
    <t>=IF($I73="","",(NL("Rows","Dimension Value","Name","Dimension Code",$H72,"Code",$I73,"Company=",$D$6)))</t>
  </si>
  <si>
    <t>=IF(AQ74=0,"Hide","Show")</t>
  </si>
  <si>
    <t>=NL("Rows", NL("Union", NL("allunique","G/L Entry",$E$20,$E$20,$E$70,$E$22,$F$22,$E$21,"@@"&amp;I74,"Company=",$D$6,"Posting Date",$J$5),NL("allunique","G/L Budget Entry",$E$20,$E$20,$E$70,$E$24,$F$22,$E$21,"@@"&amp;I74,"Company=",$D$6,"Date",$J$6)))</t>
  </si>
  <si>
    <t>=IF(I74="","500000 51800",K74&amp;" "&amp;I74)</t>
  </si>
  <si>
    <t>=K74</t>
  </si>
  <si>
    <t>=IF($P74="","",NL("Rows","G/L Account","Name","No.",$P74,"Company=",$D$6))</t>
  </si>
  <si>
    <t>=IF($P74="",0,ROUND(NL("SUM","G/L Entry","Amount","G/L Account No.",$P74,"Fund No.",$F$22,"Global Dimension 2 Code",$F$12,"Global Dimension 1 Code","@@"&amp;$I74,"Company=",$D$6,"Transaction Type",T$4,"Posting Date",T$3),0))</t>
  </si>
  <si>
    <t>=IF(OR(V$1="hide",$P74=""),0,ROUND(NL("SUM","G/L Entry","Amount","G/L Account No.",$P74,"Fund No.",$F$22,"Global Dimension 2 Code",$F$12,"Global Dimension 1 Code","@@"&amp;$I74,"Company=",$D$6,"Transaction Type",V$4,"Posting Date",V$3),0))</t>
  </si>
  <si>
    <t>=IF(OR(X$1="hide",$P74=""),0,ROUND(NL("SUM","G/L Entry","Amount","G/L Account No.",$P74,"Fund No.",$F$22,"Global Dimension 2 Code",$F$12,"Global Dimension 1 Code","@@"&amp;$I74,"Company=",$D$6,"Transaction Type",X$4,"Posting Date",X$3),0))</t>
  </si>
  <si>
    <t>=IF(OR(Z$1="hide",$P74=""),0,ROUND(NL("SUM","G/L Entry","Amount","G/L Account No.",$P74,"Fund No.",$F$22,"Global Dimension 2 Code",$F$12,"Global Dimension 1 Code","@@"&amp;$I74,"Company=",$D$6,"Transaction Type",Z$4,"Posting Date",Z$3),0))</t>
  </si>
  <si>
    <t>=IF(OR(AB$1="hide",$P74=""),0,ROUND(NL("SUM","G/L Entry","Amount","G/L Account No.",$P74,"Fund No.",$F$22,"Global Dimension 2 Code",$F$12,"Global Dimension 1 Code","@@"&amp;$I74,"Company=",$D$6,"Transaction Type",AB$4,"Posting Date",AB$3),0))</t>
  </si>
  <si>
    <t>=IF(OR(AD$1="hide",$P74=""),0,ROUND(NL("SUM","G/L Entry","Amount","G/L Account No.",$P74,"Fund No.",$F$22,"Global Dimension 2 Code",$F$12,"Global Dimension 1 Code","@@"&amp;$I74,"Company=",$D$6,"Transaction Type",AD$4,"Posting Date",AD$3),0))</t>
  </si>
  <si>
    <t>=IF(OR(AF$1="hide",$P74=""),0,ROUND(NL("SUM","G/L Entry","Amount","G/L Account No.",$P74,"Fund No.",$F$22,"Global Dimension 2 Code",$F$12,"Global Dimension 1 Code","@@"&amp;$I74,"Company=",$D$6,"Transaction Type",AF$4,"Posting Date",AF$3),0))</t>
  </si>
  <si>
    <t>=IF(OR(AH$1="hide",$P74=""),0,(ROUND(NL("SUM","G/L Entry","Amount","G/L Account No.",$P74,"Fund No.",$F$22,"Global Dimension 2 Code",$F$12,"Global Dimension 1 Code","@@"&amp;$I74,"Company=",$D$6,"Transaction Type",AH$4,"Posting Date",AH$3),0)))</t>
  </si>
  <si>
    <t>=IF(ISERROR(AH74+AJ74),0,(AH74+AJ74))</t>
  </si>
  <si>
    <t>=IF($F$13="yes",0,IF($P74="",0,ROUND(NL("SUM","G/L Budget Entry","Amount","Fund No.",$F$22,"G/L Account No.",$P74,"Company=",$D$6,"Global Dimension 1 Code","@@"&amp;$I74,"Global Dimension 2 Code",$F$12,"Date",$AN$3),0)))</t>
  </si>
  <si>
    <t>=IF($F$13="YES",AF74,AN74)</t>
  </si>
  <si>
    <t>=ABS(SUMIF(V74:AP74,"&gt;0")-SUMIF(V74:AP74,"&lt;0"))</t>
  </si>
  <si>
    <t>="573012"</t>
  </si>
  <si>
    <t>="Total " &amp;($R73)</t>
  </si>
  <si>
    <t>=SUM(T73:T76)</t>
  </si>
  <si>
    <t>=SUM(V73:V76)</t>
  </si>
  <si>
    <t>=SUM(X73:X76)</t>
  </si>
  <si>
    <t>=SUM(Z73:Z76)</t>
  </si>
  <si>
    <t>=SUM(AB73:AB76)</t>
  </si>
  <si>
    <t>=SUM(AD73:AD76)</t>
  </si>
  <si>
    <t>=SUM(AF73:AF76)</t>
  </si>
  <si>
    <t>=SUM(AH73:AH76)</t>
  </si>
  <si>
    <t>=SUM(AJ73:AJ76)</t>
  </si>
  <si>
    <t>=SUM(AL73:AL76)</t>
  </si>
  <si>
    <t>=SUM(AN73:AN76)</t>
  </si>
  <si>
    <t>=SUM(AP73:AP76)</t>
  </si>
  <si>
    <t>=$Z$153+$Z$154+$Z$155+$Z$156</t>
  </si>
  <si>
    <t>="573005"</t>
  </si>
  <si>
    <t>=IF($P91="",0,ROUND(NL("SUM","G/L Entry","Amount","G/L Account No.",$P91,"Fund No.",$F$22,"Global Dimension 2 Code",$F$12,"Global Dimension 1 Code",$H$86,"Company=",$D$6,"Transaction Type",T$4,"Posting Date",T$3),0))</t>
  </si>
  <si>
    <t>=IF(OR(V$1="hide",$P91=""),0,ROUND(NL("SUM","G/L Entry","Amount","G/L Account No.",$P91,"Fund No.",$F$22,"Global Dimension 2 Code",$F$12,"Global Dimension 1 Code",$H$86,"Company=",$D$6,"Transaction Type",V$4,"Posting Date",V$3),0))</t>
  </si>
  <si>
    <t>=IF(OR(X$1="hide",$P91=""),0,ROUND(NL("SUM","G/L Entry","Amount","G/L Account No.",$P91,"Fund No.",$F$22,"Global Dimension 2 Code",$F$12,"Global Dimension 1 Code",$H$86,"Company=",$D$6,"Transaction Type",X$4,"Posting Date",X$3),0))</t>
  </si>
  <si>
    <t>=IF(OR(Z$1="hide",$P91=""),0,ROUND(NL("SUM","G/L Entry","Amount","G/L Account No.",$P91,"Fund No.",$F$22,"Global Dimension 2 Code",$F$12,"Global Dimension 1 Code",$H$86,"Company=",$D$6,"Transaction Type",Z$4,"Posting Date",Z$3),0))</t>
  </si>
  <si>
    <t>=IF(OR(AB$1="hide",$P91=""),0,ROUND(NL("SUM","G/L Entry","Amount","G/L Account No.",$P91,"Fund No.",$F$22,"Global Dimension 2 Code",$F$12,"Global Dimension 1 Code",$H$86,"Company=",$D$6,"Transaction Type",AB$4,"Posting Date",AB$3),0))</t>
  </si>
  <si>
    <t>=IF(OR(AD$1="hide",$P91=""),0,ROUND(NL("SUM","G/L Entry","Amount","G/L Account No.",$P91,"Fund No.",$F$22,"Global Dimension 2 Code",$F$12,"Global Dimension 1 Code",$H$86,"Company=",$D$6,"Transaction Type",AD$4,"Posting Date",AD$3),0))</t>
  </si>
  <si>
    <t>=IF(OR(AF$1="hide",$P91=""),0,ROUND(NL("SUM","G/L Entry","Amount","G/L Account No.",$P91,"Fund No.",$F$22,"Global Dimension 2 Code",$F$12,"Global Dimension 1 Code",$H$86,"Company=",$D$6,"Transaction Type",AF$4,"Posting Date",AF$3),0))</t>
  </si>
  <si>
    <t>=IF(OR(AH$1="hide",$P91=""),0,ROUND(NL("SUM","G/L Entry","Amount","G/L Account No.",$P91,"Fund No.",$F$22,"Global Dimension 2 Code",$F$12,"Global Dimension 1 Code",$H$86,"Company=",$D$6,"Transaction Type",AH$4,"Posting Date",AH$3),0))</t>
  </si>
  <si>
    <t>=IF($F$13="yes",0,IF($P91="",0,ROUND(NL("SUM","G/L Budget Entry","Amount","Fund No.",$F$22,"G/L Account No.",$P91,"Company=",$D$6,"Global Dimension 1 Code",$H$86,"Global Dimension 2 Code",$F$12,"Date",$AN$3),0)))</t>
  </si>
  <si>
    <t>=SUM(T88:T92)</t>
  </si>
  <si>
    <t>=SUM(V88:V92)</t>
  </si>
  <si>
    <t>=SUM(X88:X92)</t>
  </si>
  <si>
    <t>=SUM(Z88:Z92)</t>
  </si>
  <si>
    <t>=SUM(AB88:AB92)</t>
  </si>
  <si>
    <t>=SUM(AD88:AD92)</t>
  </si>
  <si>
    <t>=SUM(AF88:AF92)</t>
  </si>
  <si>
    <t>=SUM(AH88:AH92)</t>
  </si>
  <si>
    <t>=SUM(AJ88:AJ92)</t>
  </si>
  <si>
    <t>=SUM(AL88:AL92)</t>
  </si>
  <si>
    <t>=SUM(AN88:AN92)</t>
  </si>
  <si>
    <t>=SUM(AP88:AP92)</t>
  </si>
  <si>
    <t>=IF($F$6="no",0,SUM(T93+T85+T80+T68))</t>
  </si>
  <si>
    <t>=IF($F$6="no",0,SUM(V93+V85+V80+V68))</t>
  </si>
  <si>
    <t>=IF($F$6="no",0,SUM(X93+X85+X80+X68))</t>
  </si>
  <si>
    <t>=IF($F$6="no",0,SUM(Z93+Z85+Z80+Z68))</t>
  </si>
  <si>
    <t>=IF($F$6="no",0,SUM(AB93+AB85+AB80+AB68))</t>
  </si>
  <si>
    <t>=IF($F$6="no",0,SUM(AD93+AD85+AD80+AD68))</t>
  </si>
  <si>
    <t>=IF($F$6="no",0,SUM(AF93+AF85+AF80+AF68))</t>
  </si>
  <si>
    <t>=IF($F$6="no",0,SUM(AH93+AH85+AH80+AH68))</t>
  </si>
  <si>
    <t>=IF($F$6="no",0,SUM(AJ93+AJ85+AJ80+AJ68))</t>
  </si>
  <si>
    <t>=IF($F$6="no",0,SUM(AL93+AL85+AL80+AL68))</t>
  </si>
  <si>
    <t>=IF($F$6="no",0,SUM(AN93+AN85+AN80+AN68))</t>
  </si>
  <si>
    <t>=IF($F$6="no",0,SUM(AP93+AP85+AP80+AP68))</t>
  </si>
  <si>
    <t>=B95</t>
  </si>
  <si>
    <t>=NL("Rows", NL("Union", NL("allunique","G/L Entry",$E$20,$E$20,$E$96,"Fund No.",$F$22,$E$21,$H$96,"Company=",$D$6,"Posting Date",$J$5),NL("allunique","G/L Budget Entry",$E$20,$E$20,$E$96,"Fund Code",$F$22,$E$21,$H$96,"Company=",$D$6,"Date",$J$6)))</t>
  </si>
  <si>
    <t>=IF(K98="","500000 58100",K98&amp;" "&amp;"58100")</t>
  </si>
  <si>
    <t>=IF($P98="","",NL("Rows","G/L Account","Name","No.",$P98,"Company=",$D$6))</t>
  </si>
  <si>
    <t>=IF($P98="",0,ROUND(NL("SUM","G/L Entry","Amount","G/L Account No.",$P98,"Fund No.",$F$22,"Global Dimension 2 Code",$F$12,"Global Dimension 1 Code",$H$96,"Company=",$D$6,"Transaction Type",T$4,"Posting Date",T$3),0))</t>
  </si>
  <si>
    <t>=IF(OR(V$1="hide",$P98=""),0,ROUND(NL("SUM","G/L Entry","Amount","G/L Account No.",$P98,"Fund No.",$F$22,"Global Dimension 2 Code",$F$12,"Global Dimension 1 Code",$H$96,"Company=",$D$6,"Transaction Type",V$4,"Posting Date",V$3),0))</t>
  </si>
  <si>
    <t>=IF(OR(X$1="hide",$P98=""),0,ROUND(NL("SUM","G/L Entry","Amount","G/L Account No.",$P98,"Fund No.",$F$22,"Global Dimension 2 Code",$F$12,"Global Dimension 1 Code",$H$96,"Company=",$D$6,"Transaction Type",X$4,"Posting Date",X$3),0))</t>
  </si>
  <si>
    <t>=IF(OR(Z$1="hide",$P98=""),0,ROUND(NL("SUM","G/L Entry","Amount","G/L Account No.",$P98,"Fund No.",$F$22,"Global Dimension 2 Code",$F$12,"Global Dimension 1 Code",$H$96,"Company=",$D$6,"Transaction Type",Z$4,"Posting Date",Z$3),0))</t>
  </si>
  <si>
    <t>=IF(OR(AB$1="hide",$P98=""),0,ROUND(NL("SUM","G/L Entry","Amount","G/L Account No.",$P98,"Fund No.",$F$22,"Global Dimension 2 Code",$F$12,"Global Dimension 1 Code",$H$96,"Company=",$D$6,"Transaction Type",AB$4,"Posting Date",AB$3),0))</t>
  </si>
  <si>
    <t>=IF(OR(AD$1="hide",$P98=""),0,ROUND(NL("SUM","G/L Entry","Amount","G/L Account No.",$P98,"Fund No.",$F$22,"Global Dimension 2 Code",$F$12,"Global Dimension 1 Code",$H$96,"Company=",$D$6,"Transaction Type",AD$4,"Posting Date",AD$3),0))</t>
  </si>
  <si>
    <t>=IF(OR(AF$1="hide",$P98=""),0,ROUND(NL("SUM","G/L Entry","Amount","G/L Account No.",$P98,"Fund No.",$F$22,"Global Dimension 2 Code",$F$12,"Global Dimension 1 Code",$H$96,"Company=",$D$6,"Transaction Type",AF$4,"Posting Date",AF$3),0))</t>
  </si>
  <si>
    <t>=IF(OR(AH$1="hide",$P98=""),0,ROUND(NL("SUM","G/L Entry","Amount","G/L Account No.",$P98,"Fund No.",$F$22,"Global Dimension 2 Code",$F$12,"Global Dimension 1 Code",$H$96,"Company=",$D$6,"Transaction Type",AH$4,"Posting Date",AH$3),0))</t>
  </si>
  <si>
    <t>=IF($F$13="yes",0,IF($P98="",0,ROUND(NL("SUM","G/L Budget Entry","Amount","Fund No.",$F$22,"G/L Account No.",$P98,"Company=",$D$6,"Global Dimension 1 Code",$H$96,"Global Dimension 2 Code",$F$12,"Date",$AN$3),0)))</t>
  </si>
  <si>
    <t>=SUM(T98:T99)</t>
  </si>
  <si>
    <t>=SUM(V98:V99)</t>
  </si>
  <si>
    <t>=SUM(X98:X99)</t>
  </si>
  <si>
    <t>=SUM(Z98:Z99)</t>
  </si>
  <si>
    <t>=SUM(AB98:AB99)</t>
  </si>
  <si>
    <t>=SUM(AD98:AD99)</t>
  </si>
  <si>
    <t>=SUM(AF98:AF99)</t>
  </si>
  <si>
    <t>=SUM(AH98:AH99)</t>
  </si>
  <si>
    <t>=SUM(AJ98:AJ99)</t>
  </si>
  <si>
    <t>=SUM(AL98:AL99)</t>
  </si>
  <si>
    <t>=SUM(AN98:AN99)</t>
  </si>
  <si>
    <t>=SUM(AP98:AP99)</t>
  </si>
  <si>
    <t>=B100</t>
  </si>
  <si>
    <t>=IF(AQ100=0,""," &amp; RESERVES")</t>
  </si>
  <si>
    <t>=TRIM(IF(AND($F$22&gt;"399",$F$22&lt;"500"),"TOTAL OPERATING EXPENSES"&amp;N102,"TOTAL EXPENDITURES"&amp;N102))</t>
  </si>
  <si>
    <t>=SUM(T93+T85+T80+T68+T100)</t>
  </si>
  <si>
    <t>=SUM(V93+V85+V80+V68+V100)</t>
  </si>
  <si>
    <t>=SUM(X93+X85+X80+X68+X100)</t>
  </si>
  <si>
    <t>=SUM(Z93+Z85+Z80+Z68+Z100)</t>
  </si>
  <si>
    <t>=SUM(AB93+AB85+AB80+AB68+AB100)</t>
  </si>
  <si>
    <t>=SUM(AD93+AD85+AD80+AD68+AD100)</t>
  </si>
  <si>
    <t>=SUM(AF93+AF85+AF80+AF68+AF100)</t>
  </si>
  <si>
    <t>=SUM(AH93+AH85+AH80+AH68+AH100)</t>
  </si>
  <si>
    <t>=SUM(AJ93+AJ85+AJ80+AJ68+AJ100)</t>
  </si>
  <si>
    <t>=SUM(AL93+AL85+AL80+AL68+AL100)</t>
  </si>
  <si>
    <t>=SUM(AN93+AN85+AN80+AN68+AN100)</t>
  </si>
  <si>
    <t>=SUM(AP93+AP85+AP80+AP68+AP100)</t>
  </si>
  <si>
    <t>=ABS(SUMIF(V102:AP102,"&gt;0")-SUMIF(V102:AP102,"&lt;0"))</t>
  </si>
  <si>
    <t>=IF(R104="","Hide","Show")</t>
  </si>
  <si>
    <t>=SUM(T52-T102-T58)</t>
  </si>
  <si>
    <t>=SUM(V52-V102-V58)</t>
  </si>
  <si>
    <t>=SUM(X52-X102-X58)</t>
  </si>
  <si>
    <t>=SUM(Z52-Z102-Z58)</t>
  </si>
  <si>
    <t>=SUM(AB52-AB102-AB58)</t>
  </si>
  <si>
    <t>=SUM(AD52-AD102-AD58)</t>
  </si>
  <si>
    <t>=SUM(AF52-AF102-AF58)</t>
  </si>
  <si>
    <t>=SUM(AH52-AH102-AH58)</t>
  </si>
  <si>
    <t>=SUM(AJ52-AJ102-AJ58)</t>
  </si>
  <si>
    <t>=SUM(AL52-AL102-AL58)</t>
  </si>
  <si>
    <t>=SUM(AN52-AN102-AN58)</t>
  </si>
  <si>
    <t>=SUM(AP52-AP102-AP58)</t>
  </si>
  <si>
    <t>=ABS(SUMIF(V105:AP105,"&gt;0")-SUMIF(V105:AP105,"&lt;0"))</t>
  </si>
  <si>
    <t>=IF(AND(VALUE($F$22)&gt;399,VALUE($F$22)&lt;500),0,IF(OR($F$11="NO",T$1="HIDE",T$4="ACTUAL"),0,T105+T116))</t>
  </si>
  <si>
    <t>=IF(AND(VALUE($F$22)&gt;399,VALUE($F$22)&lt;500),0,IF(OR($F$11="NO",V$1="HIDE",V$4="ACTUAL"),0,V105+V116))</t>
  </si>
  <si>
    <t>=IF(AND(VALUE($F$22)&gt;399,VALUE($F$22)&lt;500),0,IF(OR($F$11="NO",X$1="HIDE",X$4="ACTUAL"),0,X105+X116))</t>
  </si>
  <si>
    <t>=IF(AND(VALUE($F$22)&gt;399,VALUE($F$22)&lt;500),0,IF(OR($F$11="NO",Z$1="HIDE",Z$4="ACTUAL"),0,Z105+Z116))</t>
  </si>
  <si>
    <t>=IF(AND(VALUE($F$22)&gt;399,VALUE($F$22)&lt;500),0,IF(OR($F$11="NO",AB$1="HIDE",AB$4="ACTUAL"),0,AB105+AB116))</t>
  </si>
  <si>
    <t>=IF(AND(VALUE($F$22)&gt;399,VALUE($F$22)&lt;500),0,IF(OR($F$11="NO",AD$1="HIDE",AD$4="ACTUAL"),0,AD105+AD116))</t>
  </si>
  <si>
    <t>=IF(AND(VALUE($F$22)&gt;399,VALUE($F$22)&lt;500),0,IF(OR($F$11="NO",AF$1="HIDE",AF$4="ACTUAL"),0,AF105+AF116))</t>
  </si>
  <si>
    <t>=IF(AND(VALUE($F$22)&gt;399,VALUE($F$22)&lt;500),0,IF(OR($F$11="NO",AH$1="HIDE",AH$4="ACTUAL"),0,AH105+AH116))</t>
  </si>
  <si>
    <t>=IF(AND(VALUE($F$22)&gt;399,VALUE($F$22)&lt;500),0,IF(OR($F$11="NO",AN$1="HIDE",AN$4="ACTUAL"),0,AN105+AN116))</t>
  </si>
  <si>
    <t>=IF(AND(VALUE($F$22)&gt;399,VALUE($F$22)&lt;500),0,IF(OR($F$11="NO",AP$1="HIDE",AP$4="ACTUAL"),0,AP105+AP116))</t>
  </si>
  <si>
    <t>=NL("Rows", NL("Union", NL("allunique","G/L Entry",$E$20,$E$20,$E109,"Fund No.",$F$22,"Company=",$D$6,"Posting Date",$J$5),NL("allunique","G/L Budget Entry",$E$20,$E$20,$E109,"Fund Code",$F$22,"Company=",$D$6,"Date",$J$6)))</t>
  </si>
  <si>
    <t>="385000"</t>
  </si>
  <si>
    <t>=SUM(T110:T115)</t>
  </si>
  <si>
    <t>=SUM(V110:V115)</t>
  </si>
  <si>
    <t>=SUM(X110:X115)</t>
  </si>
  <si>
    <t>=SUM(Z110:Z115)</t>
  </si>
  <si>
    <t>=SUM(AB110:AB115)</t>
  </si>
  <si>
    <t>=SUM(AD110:AD115)</t>
  </si>
  <si>
    <t>=SUM(AF110:AF115)</t>
  </si>
  <si>
    <t>=SUM(AH110:AH115)</t>
  </si>
  <si>
    <t>=SUM(AJ110:AJ115)</t>
  </si>
  <si>
    <t>=SUM(AL110:AL115)</t>
  </si>
  <si>
    <t>=SUM(AN110:AN115)</t>
  </si>
  <si>
    <t>=SUM(AP110:AP115)</t>
  </si>
  <si>
    <t>=IF(OR(T$4="ACTUAL",T$1="hide"),0,T$108)</t>
  </si>
  <si>
    <t>=IF(OR(V$4="ACTUAL",V$1="hide"),0,V$108)</t>
  </si>
  <si>
    <t>=IF(OR(X$4="ACTUAL",X$1="hide"),0,X$108)</t>
  </si>
  <si>
    <t>=IF(OR(Z$4="ACTUAL",Z$1="hide"),0,Z$108)</t>
  </si>
  <si>
    <t>=IF(OR(AB$4="ACTUAL",AB$1="hide"),0,AB$108)</t>
  </si>
  <si>
    <t>=IF(OR(AD$4="ACTUAL",AD$1="hide"),0,AD$108)</t>
  </si>
  <si>
    <t>=IF(OR(AF$4="ACTUAL",AF$1="hide"),0,AF$108)</t>
  </si>
  <si>
    <t>=IF(OR(AH$4="ACTUAL",AH$1="hide"),0,AH$108)</t>
  </si>
  <si>
    <t>=IF(OR(AJ$4="ACTUAL",AJ$1="hide"),0,AJ$108)</t>
  </si>
  <si>
    <t>=IF(OR(AN$4="ACTUAL",AN$1="hide"),0,AN$108)</t>
  </si>
  <si>
    <t>=IF(OR(AP$4="ACTUAL",AP$1="hide"),0,AP$108)</t>
  </si>
  <si>
    <t>=B119</t>
  </si>
  <si>
    <t>=IF(OR($F$11="Yes",$AQ119&lt;&gt;0),"Show",IF($AQ119=0,"Hide","Show"))</t>
  </si>
  <si>
    <t>=SUM(T116:T117)</t>
  </si>
  <si>
    <t>=SUM(V116:V117)</t>
  </si>
  <si>
    <t>=SUM(X116:X117)</t>
  </si>
  <si>
    <t>=SUM(Z116:Z117)</t>
  </si>
  <si>
    <t>=SUM(AB116:AB117)</t>
  </si>
  <si>
    <t>=SUM(AD116:AD117)</t>
  </si>
  <si>
    <t>=SUM(AF116:AF117)</t>
  </si>
  <si>
    <t>=SUM(AH116:AH117)</t>
  </si>
  <si>
    <t>=SUM(AJ116:AJ117)</t>
  </si>
  <si>
    <t>=SUM(AL116:AL117)</t>
  </si>
  <si>
    <t>=SUM(AN116:AN117)</t>
  </si>
  <si>
    <t>=SUM(AP116:AP117)</t>
  </si>
  <si>
    <t>=IF(T$4="ACTUAL",SUM(T119+T105),SUM(T119+T105+(IF(ABS(T108)&lt;0.49,0,-T108))))</t>
  </si>
  <si>
    <t>=IF(V$4="ACTUAL",SUM(V119+V105),SUM(V119+V105+(IF(ABS(V108)&lt;0.49,0,-V108))))</t>
  </si>
  <si>
    <t>=IF(X$4="ACTUAL",SUM(X119+X105),SUM(X119+X105+(IF(ABS(X108)&lt;0.49,0,-X108))))</t>
  </si>
  <si>
    <t>=IF(Z$4="ACTUAL",SUM(Z119+Z105),SUM(Z119+Z105+(IF(ABS(Z108)&lt;0.49,0,-Z108))))</t>
  </si>
  <si>
    <t>=IF(AB$4="ACTUAL",SUM(AB119+AB105),SUM(AB119+AB105+(IF(ABS(AB108)&lt;0.49,0,-AB108))))</t>
  </si>
  <si>
    <t>=IF(AD$4="ACTUAL",SUM(AD119+AD105),SUM(AD119+AD105+(IF(ABS(AD108)&lt;0.49,0,-AD108))))</t>
  </si>
  <si>
    <t>=IF(AF$4="ACTUAL",SUM(AF119+AF105),SUM(AF119+AF105+(IF(ABS(AF108)&lt;0.49,0,-AF108))))</t>
  </si>
  <si>
    <t>=IF(AH$4="ACTUAL",SUM(AH119+AH105),SUM(AH119+AH105+(IF(ABS(AH108)&lt;0.49,0,-AH108))))</t>
  </si>
  <si>
    <t>=IF(AJ$4="ACTUAL",SUM(AJ119+AJ105),SUM(AJ119+AJ105+(IF(ABS(AJ108)&lt;0.49,0,-AJ108))))</t>
  </si>
  <si>
    <t>=IF(AL$4="ACTUAL",SUM(AL119+AL105),SUM(AL119+AL105+(IF(ABS(AL108)&lt;0.49,0,-AL108))))</t>
  </si>
  <si>
    <t>=IF(AN$4="ACTUAL",SUM(AN119+AN105),SUM(AN119+AN105+(IF(ABS(AN108)&lt;0.49,0,-AN108))))</t>
  </si>
  <si>
    <t>=IF(AP$4="ACTUAL",SUM(AP119+AP105),SUM(AP119+AP105+(IF(ABS(AP108)&lt;0.49,0,-AP108))))</t>
  </si>
  <si>
    <t>=IF($O123="",0,ROUND(-NL("SUM","G/L Entry","Amount","G/L Account No.",$O123,"Fund No.",$F$22,"Company=",$D$6,"Global Dimension 2 Code",$F$12,"Transaction Type","Actual","Posting Date",T$3),0))</t>
  </si>
  <si>
    <t>=IF($O123="",0,IF(V$1="SHOW",ROUND(-NL("SUM","G/L Entry","Amount","G/L Account No.",$O123,"Fund No.",$F$22,"Company=",$D$6,"Global Dimension 2 Code",$F$12,"Transaction Type","Actual","Posting Date",V$3),0),0))</t>
  </si>
  <si>
    <t>=IF($O123="",0,IF(X$1="SHOW",ROUND(-NL("SUM","G/L Entry","Amount","G/L Account No.",$O123,"Fund No.",$F$22,"Company=",$D$6,"Global Dimension 2 Code",$F$12,"Transaction Type","Actual","Posting Date",X$3),0),0))</t>
  </si>
  <si>
    <t>=IF($O123="",0,IF(Z$1="SHOW",ROUND(-NL("SUM","G/L Entry","Amount","G/L Account No.",$O123,"Fund No.",$F$22,"Company=",$D$6,"Global Dimension 2 Code",$F$12,"Transaction Type","Actual","Posting Date",Z$3),0),0))</t>
  </si>
  <si>
    <t>=IF($O123="",0,IF(AB$1="SHOW",ROUND(-NL("SUM","G/L Entry","Amount","G/L Account No.",$O123,"Fund No.",$F$22,"Company=",$D$6,"Global Dimension 2 Code",$F$12,"Transaction Type","Actual","Posting Date",AB$3),0),0))</t>
  </si>
  <si>
    <t>=IF($O123="",0,IF(AD$1="SHOW",ROUND(-NL("SUM","G/L Entry","Amount","G/L Account No.",$O123,"Fund No.",$F$22,"Company=",$D$6,"Global Dimension 2 Code",$F$12,"Transaction Type","Actual","Posting Date",AD$3),0),0))</t>
  </si>
  <si>
    <t>=IF($O123="",0,IF(AF$1="SHOW",ROUND(-NL("SUM","G/L Entry","Amount","G/L Account No.",$O123,"Fund No.",$F$22,"Company=",$D$6,"Global Dimension 2 Code",$F$12,"Transaction Type","Actual","Posting Date",AF$3),0),0))</t>
  </si>
  <si>
    <t>=IF($O123="",0,IF(AH$1="SHOW",ROUND(-NL("SUM","G/L Entry","Amount","G/L Account No.",$O123,"Fund No.",$F$22,"Company=",$D$6,"Global Dimension 2 Code",$F$12,"Transaction Type","Actual","Posting Date",AH$3),0),0))</t>
  </si>
  <si>
    <t>=AH124</t>
  </si>
  <si>
    <t>=$Z$157</t>
  </si>
  <si>
    <t>=ABS(T52)+ABS(T102)+ABS(T119)</t>
  </si>
  <si>
    <t>=ABS(V52)+ABS(V102)+ABS(V119)</t>
  </si>
  <si>
    <t>=ABS(X52)+ABS(X102)+ABS(X119)</t>
  </si>
  <si>
    <t>=ABS(Z52)+ABS(Z102)+ABS(Z119)</t>
  </si>
  <si>
    <t>=ABS(AB52)+ABS(AB102)+ABS(AB119)</t>
  </si>
  <si>
    <t>=ABS(AD52)+ABS(AD102)+ABS(AD119)</t>
  </si>
  <si>
    <t>=ABS(AF52)+ABS(AF102)+ABS(AF119)</t>
  </si>
  <si>
    <t>=ABS(AH52)+ABS(AH102)+ABS(AH119)</t>
  </si>
  <si>
    <t>=AH125+AJ125</t>
  </si>
  <si>
    <t>=IF($O126="",0,IF(AND(T$4="BUDGET",T$125=0),0,ROUND(-NL("SUM","G/L Entry","Amount","G/L Account No.",$O126,"Fund No.",$F$22,"Company=",$D$6,"Transaction Type","ACTUAL","Global Dimension 2 Code",$F$12,"Posting Date",T$5)+T123+T124,0)))</t>
  </si>
  <si>
    <t>=IF(V$1="Show",V128-V123-V121,0)</t>
  </si>
  <si>
    <t>=IF(X$1="Show",X128-X123-X121,0)</t>
  </si>
  <si>
    <t>=IF(Z$1="Show",Z128-Z123-Z121,0)</t>
  </si>
  <si>
    <t>=IF(AB$1="Show",AB128-AB123-AB121,0)</t>
  </si>
  <si>
    <t>=IF(OR($O126="",AD$1="HIDE"),0,IF(AND(AD$4="BUDGET",AD$125=0),0,ROUND(-NL("SUM","G/L Entry","Amount","G/L Account No.",$O126,"Fund No.",$F$22,"Company=",$D$6,"Transaction Type","ACTUAL","Global Dimension 2 Code",$F$12,"Posting Date",AD$5)+AD123+AD124,0)))</t>
  </si>
  <si>
    <t>=IF(OR($O126="",AF$1="HIDE"),0,IF(AND(AF$4="BUDGET",AF$125=0),0,AH126))</t>
  </si>
  <si>
    <t>=IF(OR($O126="",AH$1="HIDE"),0,IF(AND(AH$4="BUDGET",AH$125=0),0,ROUND(-NL("SUM","G/L Entry","Amount","G/L Account No.",$O126,"Fund No.",$F$22,"Company=",$D$6,"Transaction Type","ACTUAL","Global Dimension 2 Code",$F$12,"Posting Date",AH$5)+AH123+AH124,0)))</t>
  </si>
  <si>
    <t>=AL128</t>
  </si>
  <si>
    <t>=SUM(T121+T126)</t>
  </si>
  <si>
    <t>=IF(V$1="Hide",0,X126)</t>
  </si>
  <si>
    <t>=IF(X$1="Hide",0,Z126)</t>
  </si>
  <si>
    <t>=IF(Z$1="Hide",0,AB126)</t>
  </si>
  <si>
    <t>=IF(AB$1="Hide",0,AF126)</t>
  </si>
  <si>
    <t>=SUM(AD121+AD126)</t>
  </si>
  <si>
    <t>=SUM(AF121+AF126)</t>
  </si>
  <si>
    <t>=SUM(AH121+AH126)</t>
  </si>
  <si>
    <t>=SUM(AJ121+AJ126)</t>
  </si>
  <si>
    <t>=SUM(AL121+AL126)</t>
  </si>
  <si>
    <t>=SUM(AN121+AN126)</t>
  </si>
  <si>
    <t>=SUM(AP121+AP126)</t>
  </si>
  <si>
    <t>=ABS(SUMIF(V128:AP128,"&gt;0")-SUMIF(V128:AP128,"&lt;0"))</t>
  </si>
  <si>
    <t>=SUM(AQ34:AQ128)</t>
  </si>
  <si>
    <t>=IF(T$1="HIDE",0,IF($P136="",0,-NL("SUM","G/L Entry","Amount","G/L Account No.",$P136,"Global Dimension 2 Code",$F$12,"Fund No.",$F$22,"Company=",$D$6,"Posting Date",T$3,"Transaction Type",T$4))-T52)</t>
  </si>
  <si>
    <t>=IF(V$1="HIDE",0,IF($P136="",0,-NL("SUM","G/L Entry","Amount","G/L Account No.",$P136,"Global Dimension 2 Code",$F$12,"Fund No.",$F$22,"Company=",$D$6,"Posting Date",V$3,"Transaction Type",V$4))-V52)</t>
  </si>
  <si>
    <t>=IF(X$1="HIDE",0,IF($P136="",0,-NL("SUM","G/L Entry","Amount","G/L Account No.",$P136,"Global Dimension 2 Code",$F$12,"Fund No.",$F$22,"Company=",$D$6,"Posting Date",X$3,"Transaction Type",X$4))-X52)</t>
  </si>
  <si>
    <t>=IF(Z$1="HIDE",0,IF($P136="",0,-NL("SUM","G/L Entry","Amount","G/L Account No.",$P136,"Global Dimension 2 Code",$F$12,"Fund No.",$F$22,"Company=",$D$6,"Posting Date",Z$3,"Transaction Type",Z$4))-Z52)</t>
  </si>
  <si>
    <t>=IF(AB$1="HIDE",0,IF($P136="",0,-NL("SUM","G/L Entry","Amount","G/L Account No.",$P136,"Global Dimension 2 Code",$F$12,"Fund No.",$F$22,"Company=",$D$6,"Posting Date",AB$3,"Transaction Type",AB$4))-AB52)</t>
  </si>
  <si>
    <t>=IF(AD$1="HIDE",0,IF($P136="",0,-NL("SUM","G/L Entry","Amount","G/L Account No.",$P136,"Global Dimension 2 Code",$F$12,"Fund No.",$F$22,"Company=",$D$6,"Posting Date",AD$3,"Transaction Type",AD$4))-AD52)</t>
  </si>
  <si>
    <t>=IF(AF$1="HIDE",0,IF($P136="",0,-NL("SUM","G/L Entry","Amount","G/L Account No.",$P136,"Global Dimension 2 Code",$F$12,"Fund No.",$F$22,"Company=",$D$6,"Posting Date",AF$3,"Transaction Type",AF$4))-AF52)</t>
  </si>
  <si>
    <t>=IF(AH$1="HIDE",0,IF($P136="",0,-NL("SUM","G/L Entry","Amount","G/L Account No.",$P136,"Global Dimension 2 Code",$F$12,"Fund No.",$F$22,"Company=",$D$6,"Posting Date",AH$3,"Transaction Type",AH$4))-AH52)</t>
  </si>
  <si>
    <t>=IF(T$1="HIDE",0,IF($P137="",0,NL("SUM","G/L Entry","Amount","G/L Account No.",$P137,"Global Dimension 2 Code",$F$12,"Fund No.",$F$22,"Company=",$D$6,"Posting Date",T$3,"Transaction Type",T$4))-T102-T58)</t>
  </si>
  <si>
    <t>=IF(V$1="HIDE",0,IF($P137="",0,NL("SUM","G/L Entry","Amount","G/L Account No.",$P137,"Global Dimension 2 Code",$F$12,"Fund No.",$F$22,"Company=",$D$6,"Posting Date",V$3,"Transaction Type",V$4))-V102-V58)</t>
  </si>
  <si>
    <t>=IF(X$1="HIDE",0,IF($P137="",0,NL("SUM","G/L Entry","Amount","G/L Account No.",$P137,"Global Dimension 2 Code",$F$12,"Fund No.",$F$22,"Company=",$D$6,"Posting Date",X$3,"Transaction Type",X$4))-X102-X58)</t>
  </si>
  <si>
    <t>=IF(Z$1="HIDE",0,IF($P137="",0,NL("SUM","G/L Entry","Amount","G/L Account No.",$P137,"Global Dimension 2 Code",$F$12,"Fund No.",$F$22,"Company=",$D$6,"Posting Date",Z$3,"Transaction Type",Z$4))-Z102-Z58)</t>
  </si>
  <si>
    <t>=IF(AB$1="HIDE",0,IF($P137="",0,NL("SUM","G/L Entry","Amount","G/L Account No.",$P137,"Global Dimension 2 Code",$F$12,"Fund No.",$F$22,"Company=",$D$6,"Posting Date",AB$3,"Transaction Type",AB$4))-AB102-AB58)</t>
  </si>
  <si>
    <t>=IF(AD$1="HIDE",0,IF($P137="",0,NL("SUM","G/L Entry","Amount","G/L Account No.",$P137,"Global Dimension 2 Code",$F$12,"Fund No.",$F$22,"Company=",$D$6,"Posting Date",AD$3,"Transaction Type",AD$4))-AD102-AD58)</t>
  </si>
  <si>
    <t>=IF(AF$1="HIDE",0,IF($P137="",0,NL("SUM","G/L Entry","Amount","G/L Account No.",$P137,"Global Dimension 2 Code",$F$12,"Fund No.",$F$22,"Company=",$D$6,"Posting Date",AF$3,"Transaction Type",AF$4))-AF102-AF58)</t>
  </si>
  <si>
    <t>=IF(AH$1="HIDE",0,IF($P137="",0,NL("SUM","G/L Entry","Amount","G/L Account No.",$P137,"Global Dimension 2 Code",$F$12,"Fund No.",$F$22,"Company=",$D$6,"Posting Date",AH$3,"Transaction Type",AH$4))-AH102-AH58)</t>
  </si>
  <si>
    <t>=IF(T$1="HIDE",0,IF($P138="",0,NL("SUM","G/L Entry","Amount","G/L Account No.",$P138,"Global Dimension 2 Code",$F$12,"Fund No.",$F$22,"Company=",$D$6,"Posting Date",T$3,"Transaction Type",T$4))+T119-T117)</t>
  </si>
  <si>
    <t>=IF(V$1="HIDE",0,IF($P138="",0,NL("SUM","G/L Entry","Amount","G/L Account No.",$P138,"Global Dimension 2 Code",$F$12,"Fund No.",$F$22,"Company=",$D$6,"Posting Date",V$3,"Transaction Type",V$4))+V119-V117)</t>
  </si>
  <si>
    <t>=IF(X$1="HIDE",0,IF($P138="",0,NL("SUM","G/L Entry","Amount","G/L Account No.",$P138,"Global Dimension 2 Code",$F$12,"Fund No.",$F$22,"Company=",$D$6,"Posting Date",X$3,"Transaction Type",X$4))+X119-X117)</t>
  </si>
  <si>
    <t>=IF(Z$1="HIDE",0,IF($P138="",0,NL("SUM","G/L Entry","Amount","G/L Account No.",$P138,"Global Dimension 2 Code",$F$12,"Fund No.",$F$22,"Company=",$D$6,"Posting Date",Z$3,"Transaction Type",Z$4))+Z119-Z117)</t>
  </si>
  <si>
    <t>=IF(AB$1="HIDE",0,IF($P138="",0,NL("SUM","G/L Entry","Amount","G/L Account No.",$P138,"Global Dimension 2 Code",$F$12,"Fund No.",$F$22,"Company=",$D$6,"Posting Date",AB$3,"Transaction Type",AB$4))+AB119-AB117)</t>
  </si>
  <si>
    <t>=IF(AD$1="HIDE",0,IF($P138="",0,NL("SUM","G/L Entry","Amount","G/L Account No.",$P138,"Global Dimension 2 Code",$F$12,"Fund No.",$F$22,"Company=",$D$6,"Posting Date",AD$3,"Transaction Type",AD$4))+AD119-AD117)</t>
  </si>
  <si>
    <t>=IF(AF$1="HIDE",0,IF($P138="",0,NL("SUM","G/L Entry","Amount","G/L Account No.",$P138,"Global Dimension 2 Code",$F$12,"Fund No.",$F$22,"Company=",$D$6,"Posting Date",AF$3,"Transaction Type",AF$4))+AF119-AF117)</t>
  </si>
  <si>
    <t>=IF(AH$1="HIDE",0,IF($P138="",0,NL("SUM","G/L Entry","Amount","G/L Account No.",$P138,"Global Dimension 2 Code",$F$12,"Fund No.",$F$22,"Company=",$D$6,"Posting Date",AH$3,"Transaction Type",AH$4))+AH119-AH117)</t>
  </si>
  <si>
    <t>=IF(T$1="SHOW",IF(OR($P139="",T$4="BUDGET"),0,-T128-ROUND(NL("SUM","G/L Entry","Amount","G/L Account No.",$P139,"Global Dimension 2 Code",$F$12,"Fund No.",$F$22,"Company=",$D$6,"Transaction Type",T$4,"Posting Date",T$2),0)),0)</t>
  </si>
  <si>
    <t>=IF(V$1="SHOW",IF(OR($P139="",V$4="BUDGET"),0,-V128-ROUND(NL("SUM","G/L Entry","Amount","G/L Account No.",$P139,"Global Dimension 2 Code",$F$12,"Fund No.",$F$22,"Company=",$D$6,"Transaction Type",V$4,"Posting Date",V$2),0)),0)</t>
  </si>
  <si>
    <t>=IF(X$1="SHOW",IF(OR($P139="",X$4="BUDGET"),0,-X128-ROUND(NL("SUM","G/L Entry","Amount","G/L Account No.",$P139,"Global Dimension 2 Code",$F$12,"Fund No.",$F$22,"Company=",$D$6,"Transaction Type",X$4,"Posting Date",X$2),0)),0)</t>
  </si>
  <si>
    <t>=IF(Z$1="SHOW",IF(OR($P139="",Z$4="BUDGET"),0,-Z128-ROUND(NL("SUM","G/L Entry","Amount","G/L Account No.",$P139,"Global Dimension 2 Code",$F$12,"Fund No.",$F$22,"Company=",$D$6,"Transaction Type",Z$4,"Posting Date",Z$2),0)),0)</t>
  </si>
  <si>
    <t>=IF(AB$1="SHOW",IF(OR($P139="",AB$4="BUDGET"),0,-AB128-ROUND(NL("SUM","G/L Entry","Amount","G/L Account No.",$P139,"Global Dimension 2 Code",$F$12,"Fund No.",$F$22,"Company=",$D$6,"Transaction Type",AB$4,"Posting Date",AB$2),0)),0)</t>
  </si>
  <si>
    <t>=IF(AD$1="SHOW",IF(OR($P139="",AD$4="BUDGET"),0,-AD128-ROUND(NL("SUM","G/L Entry","Amount","G/L Account No.",$P139,"Global Dimension 2 Code",$F$12,"Fund No.",$F$22,"Company=",$D$6,"Transaction Type",AD$4,"Posting Date",AD$2),0)),0)</t>
  </si>
  <si>
    <t>=IF(AF$1="SHOW",IF(OR($P139="",AF$4="BUDGET"),0,-AF128-ROUND(NL("SUM","G/L Entry","Amount","G/L Account No.",$P139,"Global Dimension 2 Code",$F$12,"Fund No.",$F$22,"Company=",$D$6,"Transaction Type",AF$4,"Posting Date",AF$2),0)),0)</t>
  </si>
  <si>
    <t>=IF(AH$1="SHOW",IF(OR($P139="",AH$4="BUDGET"),0,-AH128-ROUND(NL("SUM","G/L Entry","Amount","G/L Account No.",$P139,"Global Dimension 2 Code",$F$12,"Fund No.",$F$22,"Company=",$D$6,"Transaction Type",AH$4,"Posting Date",AH$2),0)),0)</t>
  </si>
  <si>
    <t>=IF(COUNTIF(V141:AP141,"ERROR")=0,"Hide","Show")</t>
  </si>
  <si>
    <t>=COUNTIF(V141:AP141,"ERROR")</t>
  </si>
  <si>
    <t>=IF(OR(ABS(V136)&gt;10,ABS(V137)&gt;10,ABS(V138)&gt;10,ABS(V139)&gt;10),"ERROR","")</t>
  </si>
  <si>
    <t>=IF(OR(ABS(X136)&gt;10,ABS(X137)&gt;10,ABS(X138)&gt;10,ABS(X139)&gt;10),"ERROR","")</t>
  </si>
  <si>
    <t>=IF(OR(ABS(Z136)&gt;10,ABS(Z137)&gt;10,ABS(Z138)&gt;10,ABS(Z139)&gt;10),"ERROR","")</t>
  </si>
  <si>
    <t>=IF(OR(ABS(AB136)&gt;10,ABS(AB137)&gt;10,ABS(AB138)&gt;10,ABS(AB139)&gt;10),"ERROR","")</t>
  </si>
  <si>
    <t>=IF(OR(ABS(AD136)&gt;10,ABS(AD137)&gt;10,ABS(AD138)&gt;10,ABS(AD139)&gt;10),"ERROR","")</t>
  </si>
  <si>
    <t>=IF(OR(ABS(AF136)&gt;10,ABS(AF137)&gt;10,ABS(AF138)&gt;10,ABS(AF139)&gt;10),"ERROR","")</t>
  </si>
  <si>
    <t>=IF(OR(ABS(AH136)&gt;10,ABS(AH137)&gt;10,ABS(AH138)&gt;10,ABS(AH139)&gt;10),"ERROR","")</t>
  </si>
  <si>
    <t>=IF(OR(ABS(AN136)&gt;10,ABS(AN137)&gt;10,ABS(AN138)&gt;10,ABS(AN139)&gt;10),"ERROR","")</t>
  </si>
  <si>
    <t>=T128</t>
  </si>
  <si>
    <t>=IF(AD$1="HIDE",0,IF($P144="",0,-NL("SUM","G/L Entry","Amount","G/L Account No.",$P144,"Global Dimension 2 Code",$F$12,"Fund No.",$F$22,"Company=",$D$6,"Posting Date",AD$3,AD$7,AD$8,"Transaction Type",AD$4)))</t>
  </si>
  <si>
    <t>=IF(AF$1="HIDE",0,IF($P144="",0,-NL("SUM","G/L Entry","Amount","G/L Account No.",$P144,"Global Dimension 2 Code",$F$12,"Fund No.",$F$22,"Company=",$D$6,"Posting Date",AF$3,AF$7,AF$8,"Transaction Type",AF$4)))</t>
  </si>
  <si>
    <t>=IF(AD$1="HIDE",0,IF($P145="",0,NL("SUM","G/L Entry","Amount","G/L Account No.",$P145,"Global Dimension 2 Code",$F$12,"Fund No.",$F$22,"Company=",$D$6,"Posting Date",AD$3,"Transaction Type",AD$4,AD$7,AD$8)))</t>
  </si>
  <si>
    <t>=IF(AF$1="HIDE",0,IF($P145="",0,NL("SUM","G/L Entry","Amount","G/L Account No.",$P145,"Global Dimension 2 Code",$F$12,"Fund No.",$F$22,"Company=",$D$6,"Posting Date",AF$3,"Transaction Type",AF$4,AF$7,AF$8)))</t>
  </si>
  <si>
    <t>=T145-T144</t>
  </si>
  <si>
    <t>=ABS(AD144)+ABS(AD145)+ABS(AD146)</t>
  </si>
  <si>
    <t>=ABS(AF144)+ABS(AF145)+ABS(AF146)</t>
  </si>
  <si>
    <t>=-ROUND(NL("SUM","G/L Entry","Amount","G/L Account No.",$P150,"Fund No.",$F$22,"Company=",$D$6,"Transaction Type","ACTUAL","Global Dimension 2 Code",$F$12,"Posting Date",$J$4),0)</t>
  </si>
  <si>
    <t>=IF($X150=0,0,$AB150)</t>
  </si>
  <si>
    <t>=T146</t>
  </si>
  <si>
    <t>=IF($X151=0,0,IF($Z150=0,$AB151,0))</t>
  </si>
  <si>
    <t>=IF($X152=0,0,IF(SUM($Z150:$Z151)=0,$AB152,0))</t>
  </si>
  <si>
    <t>=IF($X153=0,0,IF(SUM($Z150:$Z152)=0,$AB153,0))</t>
  </si>
  <si>
    <t>=IF($X154=0,0,IF(SUM($Z150:$Z153)=0,$AB154,0))</t>
  </si>
  <si>
    <t>=IF($X155=0,0,IF(SUM($Z150:$Z154)=0,$AB155,0))</t>
  </si>
  <si>
    <t>=IF($X156=0,0,IF(SUM($Z150:$Z155)=0,$AB156,0))</t>
  </si>
  <si>
    <t>=IF(SUM($Z150:$Z156)=0,$AB157,0)</t>
  </si>
  <si>
    <t>Auto+Hide+Values+Formulas=Sheet16,Sheet13,Sheet14+AutoSheet+FormulasOnly</t>
  </si>
  <si>
    <t>=IF(AQ133=0,"hidesheet","Hide")</t>
  </si>
  <si>
    <t>=IF(AD150=0,"ADOPTED","AMENDED")</t>
  </si>
  <si>
    <t>=IF(AF150=0,"ADOPTED","AMENDED")</t>
  </si>
  <si>
    <t>=IF(R144=0,IF(AND($F$22&gt;"399",$F$22&lt;"500"),"OPERATING REVENUES","REVENUES"),"THIS REPORT HAS AN ERROR, THIS REPORT HAS AN ERROR, THIS REPORT HAS AN ERROR")</t>
  </si>
  <si>
    <t>=IF(OR(AH$1="hide",$P38=""),0,ROUND(-NL("SUM","G/L Entry","Amount","G/L Account No.",$P38,"Fund No.",$F$22,"Global Dimension 2 Code",$F$12,"Company=",$D$6,"Transaction Type",AH$4,"Posting Date",AH$3)+$Z153,0))</t>
  </si>
  <si>
    <t>=NL("Rows=6","G/L Entry","Global Dimension 2 Code","G/L Account No.",$E$43,"Global Dimension 2 Code",$F$12,"Fund No.",$F$22,"Company=",$D$6,"Posting Date",$J$5)</t>
  </si>
  <si>
    <t>=B48</t>
  </si>
  <si>
    <t>=IF(I44="","9999999",I44)</t>
  </si>
  <si>
    <t>=NL("Rows","Dimension Value","Name","Code","@@"&amp;$I45,"Dimension Code","SUBACCT","Company=",$D$6)</t>
  </si>
  <si>
    <t>=NL("Rows", NL("Union", NL("allunique","G/L Entry",$E$20,$E$20,$E$43,"Fund No.",$F$22,$E$23,$I46,"Company=",$D$6,"Posting Date",$J$5),NL("allunique","G/L Budget Entry",$E$20,$E$20,$E$43,"Fund Code",$F$22,$E$23,$I46,"Company=",$D$6,"Date",$J$6)))</t>
  </si>
  <si>
    <t>=K46 &amp;" "&amp;I46</t>
  </si>
  <si>
    <t>=IF($P46="",0,ROUND(-NL("SUM","G/L Entry","Amount","G/L Account No.",$P46,"Fund No.",$F$22,"Global Dimension 2 Code",$I46,"Company=",$D$6,"Transaction Type",T$4,"Posting Date",T$3),0))</t>
  </si>
  <si>
    <t>=IF(OR(V$1="hide",$P46=""),0,ROUND(-NL("SUM","G/L Entry","Amount","G/L Account No.",$P46,"Fund No.",$F$22,"Global Dimension 2 Code",$I46,"Company=",$D$6,"Transaction Type",V$4,"Posting Date",V$3),0))</t>
  </si>
  <si>
    <t>=IF(OR(X$1="hide",$P46=""),0,ROUND(-NL("SUM","G/L Entry","Amount","G/L Account No.",$P46,"Fund No.",$F$22,"Global Dimension 2 Code",I46,"Company=",$D$6,"Transaction Type",X$4,"Posting Date",X$3),0))</t>
  </si>
  <si>
    <t>=IF(OR(Z$1="hide",$P46=""),0,ROUND(-NL("SUM","G/L Entry","Amount","G/L Account No.",$P46,"Fund No.",$F$22,"Global Dimension 2 Code",$I46,"Company=",$D$6,"Transaction Type",Z$4,"Posting Date",Z$3),0))</t>
  </si>
  <si>
    <t>=IF(OR(AB$1="hide",$P46=""),0,ROUND(-NL("SUM","G/L Entry","Amount","G/L Account No.",$P46,"Fund No.",$F$22,"Global Dimension 2 Code",$I46,"Company=",$D$6,"Transaction Type",AB$4,"Posting Date",AB$3),0))</t>
  </si>
  <si>
    <t>=IF(OR(AD$1="hide",$P46=""),0,ROUND(-NL("SUM","G/L Entry","Amount","G/L Account No.",$P46,"Fund No.",$F$22,"Global Dimension 2 Code",$I46,"Company=",$D$6,"Transaction Type",AD$4,"Posting Date",AD$3),0))</t>
  </si>
  <si>
    <t>=IF(OR(AF$1="hide",$P46=""),0,ROUND(-NL("SUM","G/L Entry","Amount","G/L Account No.",$P46,"Fund No.",$F$22,"Global Dimension 2 Code",$I46,"Company=",$D$6,"Transaction Type",AF$4,"Posting Date",AF$3),0))</t>
  </si>
  <si>
    <t>=IF(OR(AH$1="hide",$P46=""),0,ROUND(-NL("SUM","G/L Entry","Amount","G/L Account No.",$P46,"Fund No.",$F$22,"Global Dimension 2 Code",$I46,"Company=",$D$6,"Transaction Type",AH$4,"Posting Date",AH$3),0))</t>
  </si>
  <si>
    <t>=IF($F$13="yes",0,IF($P46="",0,-ROUND(NL("SUM","G/L Budget Entry","Amount","Fund No.",$F$22,"G/L Account No.",$P46,"Company=",$D$6,"Global Dimension 2 Code",$I46,"Date",$AN$3),0)))</t>
  </si>
  <si>
    <t>=SUM(T45:T47)</t>
  </si>
  <si>
    <t>=SUM(V45:V47)</t>
  </si>
  <si>
    <t>=SUM(X45:X47)</t>
  </si>
  <si>
    <t>=SUM(Z45:Z47)</t>
  </si>
  <si>
    <t>=SUM(AB45:AB47)</t>
  </si>
  <si>
    <t>=SUM(AD45:AD47)</t>
  </si>
  <si>
    <t>=SUM(AF45:AF47)</t>
  </si>
  <si>
    <t>=SUM(AH45:AH47)</t>
  </si>
  <si>
    <t>=SUM(AJ45:AJ47)</t>
  </si>
  <si>
    <t>=SUM(AL45:AL47)</t>
  </si>
  <si>
    <t>=SUM(AN45:AN47)</t>
  </si>
  <si>
    <t>=SUM(AP45:AP47)</t>
  </si>
  <si>
    <t>=SUM(T37:T42)+SUM(AU46:AU50)</t>
  </si>
  <si>
    <t>=SUM(V37:V42)+SUM(AV46:AV50)</t>
  </si>
  <si>
    <t>=SUM(X37:X42)+SUM(AW46:AW50)</t>
  </si>
  <si>
    <t>=SUM(Z37:Z42)+SUM(AX46:AX50)</t>
  </si>
  <si>
    <t>=SUM(AB37:AB42)+SUM(AY46:AY50)</t>
  </si>
  <si>
    <t>=SUM(AD37:AD42)+SUM(AZ46:AZ50)</t>
  </si>
  <si>
    <t>=SUM(AF37:AF42)+SUM(BA46:BA50)</t>
  </si>
  <si>
    <t>=SUM(AH37:AH42)+SUM(BB46:BB50)</t>
  </si>
  <si>
    <t>=SUM(AJ37:AJ42)+SUM(BC46:BC50)</t>
  </si>
  <si>
    <t>=SUM(AL37:AL42)+SUM(BD46:BD50)</t>
  </si>
  <si>
    <t>=SUM(AN37:AN42)+SUM(BE46:BE50)</t>
  </si>
  <si>
    <t>=SUM(AP37:AP42)+SUM(BF46:BF50)</t>
  </si>
  <si>
    <t>=NL("Rows", NL("Union", NL("allunique","G/L Entry",$E$20,$E$20,$E53,"Fund No.",$F$22,"Company=",$D$6,"Posting Date",$J$5),NL("allunique","G/L Budget Entry",$E$20,$E$20,$E53,"Fund Code",$F$22,"Company=",$D$6,"Date",$J$6)))</t>
  </si>
  <si>
    <t>=IF(K55="","500000 50000",K55&amp;" "&amp;"50000")</t>
  </si>
  <si>
    <t>=K55</t>
  </si>
  <si>
    <t>=IF($P55="","",(NL("Rows","G/L Account","Name","No.",$P55,"Company=",$D$6)))</t>
  </si>
  <si>
    <t>=IF(OR($F$14="no",$P55=""),0,ROUND(NL("SUM","G/L Entry","Amount","G/L Account No.",$P55,"Fund No.",$F$22,"Global Dimension 2 Code",$F$12,"Company=",$D$6,"Transaction Type",T$4,"Posting Date",T$3),0))</t>
  </si>
  <si>
    <t>=IF(OR(V$1="hide",$F$14="no",$P55=""),0,ROUND(NL("SUM","G/L Entry","Amount","G/L Account No.",$P55,"Fund No.",$F$22,"Global Dimension 2 Code",$F$12,"Company=",$D$6,"Transaction Type",V$4,"Posting Date",V$3),0))</t>
  </si>
  <si>
    <t>=IF(OR(X$1="hide",$F$14="no",$P55=""),0,ROUND(NL("SUM","G/L Entry","Amount","G/L Account No.",$P55,"Fund No.",$F$22,"Global Dimension 2 Code",$F$12,"Company=",$D$6,"Transaction Type",X$4,"Posting Date",X$3),0))</t>
  </si>
  <si>
    <t>=IF(OR(Z$1="hide",$F$14="no",$P55=""),0,ROUND(NL("SUM","G/L Entry","Amount","G/L Account No.",$P55,"Fund No.",$F$22,"Global Dimension 2 Code",$F$12,"Company=",$D$6,"Transaction Type",Z$4,"Posting Date",Z$3),0))</t>
  </si>
  <si>
    <t>=IF(OR(AB$1="hide",$F$14="no",$P55=""),0,ROUND(NL("SUM","G/L Entry","Amount","G/L Account No.",$P55,"Fund No.",$F$22,"Global Dimension 2 Code",$F$12,"Company=",$D$6,"Transaction Type",AB$4,"Posting Date",AB$3),0))</t>
  </si>
  <si>
    <t>=IF(OR(AD$1="hide",$F$14="no",$P55=""),0,ROUND(NL("SUM","G/L Entry","Amount","G/L Account No.",$P55,"Fund No.",$F$22,"Global Dimension 2 Code",$F$12,"Company=",$D$6,"Transaction Type",AD$4,"Posting Date",AD$3),0))</t>
  </si>
  <si>
    <t>=IF(OR(AF$1="hide",$F$14="no",$P55=""),0,ROUND(NL("SUM","G/L Entry","Amount","G/L Account No.",$P55,"Fund No.",$F$22,"Global Dimension 2 Code",$F$12,"Company=",$D$6,"Transaction Type",AF$4,"Posting Date",AF$3),0))</t>
  </si>
  <si>
    <t>=IF(OR(AH$1="hide",$F$14="no",$P55=""),0,SUM(ROUND(NL("SUM","G/L Entry","Amount","G/L Account No.",$P55,"Fund No.",$F$22,"Global Dimension 2 Code",$F$12,"Company=",$D$6,"Transaction Type",AH$4,"Posting Date",AH$3),0),IF($P55="549001",-$AH$69,IF($P55="549900",-$AH$69,0))))</t>
  </si>
  <si>
    <t>=IF(ISERROR(AH55+AJ55),0,(AH55+AJ55))</t>
  </si>
  <si>
    <t>=IF(OR($F$14="no",$F$13="yes"),0,IF($P55="",0,ROUND(NL("SUM","G/L Budget Entry","Amount","Fund No.",$F$22,"G/L Account No.",$P55,"Company=",$D$6,"Global Dimension 2 Code",$F$12,"Date",$AN$3),0)))</t>
  </si>
  <si>
    <t>=IF($F$13="YES",AF55,AN55)</t>
  </si>
  <si>
    <t>=SUM(T54:T56)</t>
  </si>
  <si>
    <t>=SUM(V54:V56)</t>
  </si>
  <si>
    <t>=SUM(X54:X56)</t>
  </si>
  <si>
    <t>=SUM(Z54:Z56)</t>
  </si>
  <si>
    <t>=SUM(AB54:AB56)</t>
  </si>
  <si>
    <t>=SUM(AD54:AD56)</t>
  </si>
  <si>
    <t>=SUM(AF54:AF56)</t>
  </si>
  <si>
    <t>=SUM(AH54:AH56)</t>
  </si>
  <si>
    <t>=SUM(AJ54:AJ56)</t>
  </si>
  <si>
    <t>=SUM(AL54:AL56)</t>
  </si>
  <si>
    <t>=SUM(AN54:AN56)</t>
  </si>
  <si>
    <t>=SUM(AP54:AP56)</t>
  </si>
  <si>
    <t>=IF(OR(VALUE($F$22)&lt;=399,VALUE($F$22)&gt;499,$F$14="NO"),0,T51-T57)</t>
  </si>
  <si>
    <t>=IF(OR(VALUE($F$22)&lt;=399,VALUE($F$22)&gt;499,$F$14="NO"),0,V51-V57)</t>
  </si>
  <si>
    <t>=IF(OR(VALUE($F$22)&lt;=399,VALUE($F$22)&gt;499,$F$14="NO"),0,X51-X57)</t>
  </si>
  <si>
    <t>=IF(OR(VALUE($F$22)&lt;=399,VALUE($F$22)&gt;499,$F$14="NO"),0,Z51-Z57)</t>
  </si>
  <si>
    <t>=IF(OR(VALUE($F$22)&lt;=399,VALUE($F$22)&gt;499,$F$14="NO"),0,AB51-AB57)</t>
  </si>
  <si>
    <t>=IF(OR(VALUE($F$22)&lt;=399,VALUE($F$22)&gt;499,$F$14="NO"),0,AD51-AD57)</t>
  </si>
  <si>
    <t>=IF(OR(VALUE($F$22)&lt;=399,VALUE($F$22)&gt;499,$F$14="NO"),0,AF51-AF57)</t>
  </si>
  <si>
    <t>=IF(OR(VALUE($F$22)&lt;=399,VALUE($F$22)&gt;499,$F$14="NO"),0,AH51-AH57)</t>
  </si>
  <si>
    <t>=IF(OR(VALUE($F$22)&lt;=399,VALUE($F$22)&gt;499,$F$14="NO"),0,AJ51-AJ57)</t>
  </si>
  <si>
    <t>=IF(OR(VALUE($F$22)&lt;=399,VALUE($F$22)&gt;499,$F$14="NO"),0,AL51-AL57)</t>
  </si>
  <si>
    <t>=IF(OR(VALUE($F$22)&lt;=399,VALUE($F$22)&gt;499,$F$14="NO"),0,AN51-AN57)</t>
  </si>
  <si>
    <t>=IF(OR(VALUE($F$22)&lt;=399,VALUE($F$22)&gt;499,$F$14="NO"),0,AP51-AP57)</t>
  </si>
  <si>
    <t>=B67</t>
  </si>
  <si>
    <t>=NL("Rows", NL("Union", NL("allunique","G/L Entry",$E$20,$E$20,$E64,"Fund No.",$F$22,$E$21,$H64,"Company=",$D$6,"Posting Date",$J$5),NL("allunique","G/L Budget Entry",$E$20,$E$20,$E64,"Fund Code",$F$22,$E$21,$H64,"Company=",$D$6,"Date",$J$6)))</t>
  </si>
  <si>
    <t>=IF(K65="","500000 51699",K65&amp;" "&amp;"51699")</t>
  </si>
  <si>
    <t>=K65</t>
  </si>
  <si>
    <t>=IF($P65="","",(NL("Rows","G/L Account","Name","No.",$P65,"Company=",$D$6)))</t>
  </si>
  <si>
    <t>=IF($P65="",0,ROUND(NL("SUM","G/L Entry","Amount","G/L Account No.",$P65,"Fund No.",$F$22,"Global Dimension 2 Code",$F$12,"Global Dimension 1 Code",$H$64,"Company=",$D$6,"Transaction Type",T$4,"Posting Date",T$3),0))</t>
  </si>
  <si>
    <t>=IF(OR(V$1="hide",$P65=""),0,ROUND(NL("SUM","G/L Entry","Amount","G/L Account No.",$P65,"Fund No.",$F$22,"Global Dimension 2 Code",$F$12,"Global Dimension 1 Code",$H$64,"Company=",$D$6,"Transaction Type",V$4,"Posting Date",V$3),0))</t>
  </si>
  <si>
    <t>=IF(OR(X$1="hide",$P65=""),0,ROUND(NL("SUM","G/L Entry","Amount","G/L Account No.",$P65,"Fund No.",$F$22,"Global Dimension 2 Code",$F$12,"Global Dimension 1 Code",$H$64,"Company=",$D$6,"Transaction Type",X$4,"Posting Date",X$3),0))</t>
  </si>
  <si>
    <t>=IF(OR(Z$1="hide",$P65=""),0,ROUND(NL("SUM","G/L Entry","Amount","G/L Account No.",$P65,"Fund No.",$F$22,"Global Dimension 2 Code",$F$12,"Global Dimension 1 Code",$H$64,"Company=",$D$6,"Transaction Type",Z$4,"Posting Date",Z$3),0))</t>
  </si>
  <si>
    <t>=IF(OR(AB$1="hide",$P65=""),0,ROUND(NL("SUM","G/L Entry","Amount","G/L Account No.",$P65,"Fund No.",$F$22,"Global Dimension 2 Code",$F$12,"Global Dimension 1 Code",$H$64,"Company=",$D$6,"Transaction Type",AB$4,"Posting Date",AB$3),0))</t>
  </si>
  <si>
    <t>=IF(OR(AD$1="hide",$P65=""),0,ROUND(NL("SUM","G/L Entry","Amount","G/L Account No.",$P65,"Fund No.",$F$22,"Global Dimension 2 Code",$F$12,"Global Dimension 1 Code",$H$64,"Company=",$D$6,"Transaction Type",AD$4,"Posting Date",AD$3),0))</t>
  </si>
  <si>
    <t>=IF(OR(AF$1="hide",$P65=""),0,ROUND(NL("SUM","G/L Entry","Amount","G/L Account No.",$P65,"Fund No.",$F$22,"Global Dimension 2 Code",$F$12,"Global Dimension 1 Code",$H$64,"Company=",$D$6,"Transaction Type",AF$4,"Posting Date",AF$3),0))</t>
  </si>
  <si>
    <t>=IF(OR(AH$1="hide",$P65=""),0,SUM(ROUND(NL("SUM","G/L Entry","Amount","G/L Account No.",$P65,"Fund No.",$F$22,"Global Dimension 2 Code",$F$12,"Global Dimension 1 Code",$H$64,"Company=",$D$6,"Transaction Type",AH$4,"Posting Date",AH$3),0),IF($P65="549001",-$AH$69,IF($P65="549900",-$AH$69,0))))</t>
  </si>
  <si>
    <t>=IF(ISERROR(AH65+AJ65),0,(AH65+AJ65))</t>
  </si>
  <si>
    <t>=IF($F$13="yes",0,IF($P65="",0,ROUND(NL("SUM","G/L Budget Entry","Amount","Fund No.",$F$22,"G/L Account No.",$P65,"Global Dimension 1 Code",$H$64,"Company=",$D$6,"Global Dimension 2 Code",$F$12,"Date",$AN$3),0)))</t>
  </si>
  <si>
    <t>=IF($F$13="YES",AF65,AN65)</t>
  </si>
  <si>
    <t>="Total "&amp;R63</t>
  </si>
  <si>
    <t>=SUM(T65:T66)</t>
  </si>
  <si>
    <t>=SUM(V65:V66)</t>
  </si>
  <si>
    <t>=SUM(X65:X66)</t>
  </si>
  <si>
    <t>=SUM(Z65:Z66)</t>
  </si>
  <si>
    <t>=SUM(AB65:AB66)</t>
  </si>
  <si>
    <t>=SUM(AD65:AD66)</t>
  </si>
  <si>
    <t>=SUM(AF65:AF66)</t>
  </si>
  <si>
    <t>=SUM(AH65:AH66)</t>
  </si>
  <si>
    <t>=SUM(AJ65:AJ66)</t>
  </si>
  <si>
    <t>=SUM(AL65:AL66)</t>
  </si>
  <si>
    <t>=SUM(AN65:AN66)</t>
  </si>
  <si>
    <t>=SUM(AP65:AP66)</t>
  </si>
  <si>
    <t>=$Z$154+$Z$155</t>
  </si>
  <si>
    <t>=NL("Rows=6", NL("Union", NL("allunique","G/L Entry",$E$21,$E$20,$E$69,$E$21,$H$69,"Fund No.",F$22,"Company=",$D$6,"Posting Date",$J$5),NL("allunique","G/L Budget Entry",$E$21,$E$20,$E$69,$E$21,$H$69,"Fund Code",F$22,"Company=",$D$6,"Date",$J$6)))</t>
  </si>
  <si>
    <t>=IF($I72="","",(NL("Rows","Dimension Value","Name","Dimension Code",$H71,"Code",$I72,"Company=",$D$6)))</t>
  </si>
  <si>
    <t>=NL("Rows", NL("Union", NL("allunique","G/L Entry",$E$20,$E$20,$E$69,$E$22,$F$22,$E$21,"@@"&amp;I73,"Company=",$D$6,"Posting Date",$J$5),NL("allunique","G/L Budget Entry",$E$20,$E$20,$E$69,$E$24,$F$22,$E$21,"@@"&amp;I73,"Company=",$D$6,"Date",$J$6)))</t>
  </si>
  <si>
    <t>=IF(I73="","500000 51800",K73&amp;" "&amp;I73)</t>
  </si>
  <si>
    <t>=K73</t>
  </si>
  <si>
    <t>=IF($P73="","",NL("Rows","G/L Account","Name","No.",$P73,"Company=",$D$6))</t>
  </si>
  <si>
    <t>=IF($P73="",0,ROUND(NL("SUM","G/L Entry","Amount","G/L Account No.",$P73,"Fund No.",$F$22,"Global Dimension 2 Code",$F$12,"Global Dimension 1 Code","@@"&amp;$I73,"Company=",$D$6,"Transaction Type",T$4,"Posting Date",T$3),0))</t>
  </si>
  <si>
    <t>=IF(OR(V$1="hide",$P73=""),0,ROUND(NL("SUM","G/L Entry","Amount","G/L Account No.",$P73,"Fund No.",$F$22,"Global Dimension 2 Code",$F$12,"Global Dimension 1 Code","@@"&amp;$I73,"Company=",$D$6,"Transaction Type",V$4,"Posting Date",V$3),0))</t>
  </si>
  <si>
    <t>=IF(OR(X$1="hide",$P73=""),0,ROUND(NL("SUM","G/L Entry","Amount","G/L Account No.",$P73,"Fund No.",$F$22,"Global Dimension 2 Code",$F$12,"Global Dimension 1 Code","@@"&amp;$I73,"Company=",$D$6,"Transaction Type",X$4,"Posting Date",X$3),0))</t>
  </si>
  <si>
    <t>=IF(OR(Z$1="hide",$P73=""),0,ROUND(NL("SUM","G/L Entry","Amount","G/L Account No.",$P73,"Fund No.",$F$22,"Global Dimension 2 Code",$F$12,"Global Dimension 1 Code","@@"&amp;$I73,"Company=",$D$6,"Transaction Type",Z$4,"Posting Date",Z$3),0))</t>
  </si>
  <si>
    <t>=IF(OR(AB$1="hide",$P73=""),0,ROUND(NL("SUM","G/L Entry","Amount","G/L Account No.",$P73,"Fund No.",$F$22,"Global Dimension 2 Code",$F$12,"Global Dimension 1 Code","@@"&amp;$I73,"Company=",$D$6,"Transaction Type",AB$4,"Posting Date",AB$3),0))</t>
  </si>
  <si>
    <t>=IF(OR(AD$1="hide",$P73=""),0,ROUND(NL("SUM","G/L Entry","Amount","G/L Account No.",$P73,"Fund No.",$F$22,"Global Dimension 2 Code",$F$12,"Global Dimension 1 Code","@@"&amp;$I73,"Company=",$D$6,"Transaction Type",AD$4,"Posting Date",AD$3),0))</t>
  </si>
  <si>
    <t>=IF(OR(AF$1="hide",$P73=""),0,ROUND(NL("SUM","G/L Entry","Amount","G/L Account No.",$P73,"Fund No.",$F$22,"Global Dimension 2 Code",$F$12,"Global Dimension 1 Code","@@"&amp;$I73,"Company=",$D$6,"Transaction Type",AF$4,"Posting Date",AF$3),0))</t>
  </si>
  <si>
    <t>=IF(OR(AH$1="hide",$P73=""),0,(ROUND(NL("SUM","G/L Entry","Amount","G/L Account No.",$P73,"Fund No.",$F$22,"Global Dimension 2 Code",$F$12,"Global Dimension 1 Code","@@"&amp;$I73,"Company=",$D$6,"Transaction Type",AH$4,"Posting Date",AH$3),0)))</t>
  </si>
  <si>
    <t>=IF(ISERROR(AH73+AJ73),0,(AH73+AJ73))</t>
  </si>
  <si>
    <t>=IF($F$13="yes",0,IF($P73="",0,ROUND(NL("SUM","G/L Budget Entry","Amount","Fund No.",$F$22,"G/L Account No.",$P73,"Company=",$D$6,"Global Dimension 1 Code","@@"&amp;$I73,"Global Dimension 2 Code",$F$12,"Date",$AN$3),0)))</t>
  </si>
  <si>
    <t>=IF($F$13="YES",AF73,AN73)</t>
  </si>
  <si>
    <t>="Total " &amp;($R72)</t>
  </si>
  <si>
    <t>=SUM(T73:T74)</t>
  </si>
  <si>
    <t>=SUM(V73:V74)</t>
  </si>
  <si>
    <t>=SUM(X73:X74)</t>
  </si>
  <si>
    <t>=SUM(Z73:Z74)</t>
  </si>
  <si>
    <t>=SUM(AB73:AB74)</t>
  </si>
  <si>
    <t>=SUM(AD73:AD74)</t>
  </si>
  <si>
    <t>=SUM(AF73:AF74)</t>
  </si>
  <si>
    <t>=SUM(AH73:AH74)</t>
  </si>
  <si>
    <t>=SUM(AJ73:AJ74)</t>
  </si>
  <si>
    <t>=SUM(AL73:AL74)</t>
  </si>
  <si>
    <t>=SUM(AN73:AN74)</t>
  </si>
  <si>
    <t>=SUM(AP73:AP74)</t>
  </si>
  <si>
    <t>=SUM(T72:T74)</t>
  </si>
  <si>
    <t>=SUM(V72:V74)</t>
  </si>
  <si>
    <t>=SUM(X72:X74)</t>
  </si>
  <si>
    <t>=SUM(Z72:Z74)</t>
  </si>
  <si>
    <t>=SUM(AB72:AB74)</t>
  </si>
  <si>
    <t>=SUM(AD72:AD74)</t>
  </si>
  <si>
    <t>=SUM(AF72:AF74)</t>
  </si>
  <si>
    <t>=SUM(AH72:AH74)</t>
  </si>
  <si>
    <t>=SUM(AJ72:AJ74)</t>
  </si>
  <si>
    <t>=SUM(AL72:AL74)</t>
  </si>
  <si>
    <t>=SUM(AN72:AN74)</t>
  </si>
  <si>
    <t>=SUM(AP72:AP74)</t>
  </si>
  <si>
    <t>=B75</t>
  </si>
  <si>
    <t>="58001"</t>
  </si>
  <si>
    <t>=IF($I78="","",(NL("Rows","Dimension Value","Name","Dimension Code",$H77,"Code",$I78,"Company=",$D$6)))</t>
  </si>
  <si>
    <t>=NL("Rows", NL("Union", NL("allunique","G/L Entry",$E$20,$E$20,$E$69,$E$22,$F$22,$E$21,"@@"&amp;I79,"Company=",$D$6,"Posting Date",$J$5),NL("allunique","G/L Budget Entry",$E$20,$E$20,$E$69,$E$24,$F$22,$E$21,"@@"&amp;I79,"Company=",$D$6,"Date",$J$6)))</t>
  </si>
  <si>
    <t>=IF(I79="","500000 51800",K79&amp;" "&amp;I79)</t>
  </si>
  <si>
    <t>=IF($P79="",0,ROUND(NL("SUM","G/L Entry","Amount","G/L Account No.",$P79,"Fund No.",$F$22,"Global Dimension 2 Code",$F$12,"Global Dimension 1 Code","@@"&amp;$I79,"Company=",$D$6,"Transaction Type",T$4,"Posting Date",T$3),0))</t>
  </si>
  <si>
    <t>=IF(OR(V$1="hide",$P79=""),0,ROUND(NL("SUM","G/L Entry","Amount","G/L Account No.",$P79,"Fund No.",$F$22,"Global Dimension 2 Code",$F$12,"Global Dimension 1 Code","@@"&amp;$I79,"Company=",$D$6,"Transaction Type",V$4,"Posting Date",V$3),0))</t>
  </si>
  <si>
    <t>=IF(OR(X$1="hide",$P79=""),0,ROUND(NL("SUM","G/L Entry","Amount","G/L Account No.",$P79,"Fund No.",$F$22,"Global Dimension 2 Code",$F$12,"Global Dimension 1 Code","@@"&amp;$I79,"Company=",$D$6,"Transaction Type",X$4,"Posting Date",X$3),0))</t>
  </si>
  <si>
    <t>=IF(OR(Z$1="hide",$P79=""),0,ROUND(NL("SUM","G/L Entry","Amount","G/L Account No.",$P79,"Fund No.",$F$22,"Global Dimension 2 Code",$F$12,"Global Dimension 1 Code","@@"&amp;$I79,"Company=",$D$6,"Transaction Type",Z$4,"Posting Date",Z$3),0))</t>
  </si>
  <si>
    <t>=IF(OR(AB$1="hide",$P79=""),0,ROUND(NL("SUM","G/L Entry","Amount","G/L Account No.",$P79,"Fund No.",$F$22,"Global Dimension 2 Code",$F$12,"Global Dimension 1 Code","@@"&amp;$I79,"Company=",$D$6,"Transaction Type",AB$4,"Posting Date",AB$3),0))</t>
  </si>
  <si>
    <t>=IF(OR(AD$1="hide",$P79=""),0,ROUND(NL("SUM","G/L Entry","Amount","G/L Account No.",$P79,"Fund No.",$F$22,"Global Dimension 2 Code",$F$12,"Global Dimension 1 Code","@@"&amp;$I79,"Company=",$D$6,"Transaction Type",AD$4,"Posting Date",AD$3),0))</t>
  </si>
  <si>
    <t>=IF(OR(AF$1="hide",$P79=""),0,ROUND(NL("SUM","G/L Entry","Amount","G/L Account No.",$P79,"Fund No.",$F$22,"Global Dimension 2 Code",$F$12,"Global Dimension 1 Code","@@"&amp;$I79,"Company=",$D$6,"Transaction Type",AF$4,"Posting Date",AF$3),0))</t>
  </si>
  <si>
    <t>=IF(OR(AH$1="hide",$P79=""),0,(ROUND(NL("SUM","G/L Entry","Amount","G/L Account No.",$P79,"Fund No.",$F$22,"Global Dimension 2 Code",$F$12,"Global Dimension 1 Code","@@"&amp;$I79,"Company=",$D$6,"Transaction Type",AH$4,"Posting Date",AH$3),0)))</t>
  </si>
  <si>
    <t>=IF($F$13="yes",0,IF($P79="",0,ROUND(NL("SUM","G/L Budget Entry","Amount","Fund No.",$F$22,"G/L Account No.",$P79,"Company=",$D$6,"Global Dimension 1 Code","@@"&amp;$I79,"Global Dimension 2 Code",$F$12,"Date",$AN$3),0)))</t>
  </si>
  <si>
    <t>=I79</t>
  </si>
  <si>
    <t>=I80</t>
  </si>
  <si>
    <t>="Total " &amp;($R78)</t>
  </si>
  <si>
    <t>=SUM(T78:T80)</t>
  </si>
  <si>
    <t>=SUM(V78:V80)</t>
  </si>
  <si>
    <t>=SUM(X78:X80)</t>
  </si>
  <si>
    <t>=SUM(Z78:Z80)</t>
  </si>
  <si>
    <t>=SUM(AB78:AB80)</t>
  </si>
  <si>
    <t>=SUM(AD78:AD80)</t>
  </si>
  <si>
    <t>=SUM(AF78:AF80)</t>
  </si>
  <si>
    <t>=SUM(AH78:AH80)</t>
  </si>
  <si>
    <t>=SUM(AJ78:AJ80)</t>
  </si>
  <si>
    <t>=SUM(AL78:AL80)</t>
  </si>
  <si>
    <t>=SUM(AN78:AN80)</t>
  </si>
  <si>
    <t>=SUM(AP78:AP80)</t>
  </si>
  <si>
    <t>=I81</t>
  </si>
  <si>
    <t>=SUM(AU74:AU83)</t>
  </si>
  <si>
    <t>=SUM(AV74:AV83)</t>
  </si>
  <si>
    <t>=SUM(AW74:AW83)</t>
  </si>
  <si>
    <t>=SUM(AX74:AX83)</t>
  </si>
  <si>
    <t>=SUM(AY74:AY83)</t>
  </si>
  <si>
    <t>=SUM(AZ74:AZ83)</t>
  </si>
  <si>
    <t>=SUM(BA74:BA83)</t>
  </si>
  <si>
    <t>=SUM(BB74:BB83)</t>
  </si>
  <si>
    <t>=SUM(BC74:BC83)</t>
  </si>
  <si>
    <t>=SUM(BD74:BD83)</t>
  </si>
  <si>
    <t>=SUM(BE74:BE83)</t>
  </si>
  <si>
    <t>=SUM(BF74:BF83)</t>
  </si>
  <si>
    <t>=$Z$156+$Z$157+$Z$158+$Z$159</t>
  </si>
  <si>
    <t>=NL("Rows", NL("Union", NL("allunique","G/L Entry",$E$20,$E$20,$E$85,"Fund No.",$F$22,"Company=",$D$6,"Posting Date",$J$5),NL("allunique","G/L Budget Entry",$E$20,$E$20,$E$85,"Fund Code",$F$22,"Company=",$D$6,"Date",$J$6)))</t>
  </si>
  <si>
    <t>=IF(K87="","565999",K87)</t>
  </si>
  <si>
    <t>=IF($P87="","",NL("Rows","G/L Account","Name","No.",$P87,"Company=",$D$6))</t>
  </si>
  <si>
    <t>=IF($P87="",0,ROUND(NL("SUM","G/L Entry","Amount","G/L Account No.",$P87,"Fund No.",$F$22,"Global Dimension 2 Code",$F$12,"Company=",$D$6,"Transaction Type",T$4,"Posting Date",T$3),0))</t>
  </si>
  <si>
    <t>=IF(OR(V$1="hide",$P87=""),0,ROUND(NL("SUM","G/L Entry","Amount","G/L Account No.",$P87,"Fund No.",$F$22,"Global Dimension 2 Code",$F$12,"Company=",$D$6,"Transaction Type",V$4,"Posting Date",V$3),0))</t>
  </si>
  <si>
    <t>=IF(OR(X$1="hide",$P87=""),0,ROUND(NL("SUM","G/L Entry","Amount","G/L Account No.",$P87,"Fund No.",$F$22,"Global Dimension 2 Code",$F$12,"Company=",$D$6,"Transaction Type",X$4,"Posting Date",X$3),0))</t>
  </si>
  <si>
    <t>=IF(OR(Z$1="hide",$P87=""),0,ROUND(NL("SUM","G/L Entry","Amount","G/L Account No.",$P87,"Fund No.",$F$22,"Global Dimension 2 Code",$F$12,"Company=",$D$6,"Transaction Type",Z$4,"Posting Date",Z$3),0))</t>
  </si>
  <si>
    <t>=IF(OR(AB$1="hide",$P87=""),0,ROUND(NL("SUM","G/L Entry","Amount","G/L Account No.",$P87,"Fund No.",$F$22,"Global Dimension 2 Code",$F$12,"Company=",$D$6,"Transaction Type",AB$4,"Posting Date",AB$3),0))</t>
  </si>
  <si>
    <t>=IF(OR(AD$1="hide",$P87=""),0,ROUND(NL("SUM","G/L Entry","Amount","G/L Account No.",$P87,"Fund No.",$F$22,"Global Dimension 2 Code",$F$12,"Company=",$D$6,"Transaction Type",AD$4,"Posting Date",AD$3),0))</t>
  </si>
  <si>
    <t>=IF(OR(AF$1="hide",$P87=""),0,ROUND(NL("SUM","G/L Entry","Amount","G/L Account No.",$P87,"Fund No.",$F$22,"Global Dimension 2 Code",$F$12,"Company=",$D$6,"Transaction Type",AF$4,"Posting Date",AF$3),0))</t>
  </si>
  <si>
    <t>=IF(OR(AH$1="hide",$P87=""),0,SUM(ROUND(NL("SUM","G/L Entry","Amount","G/L Account No.",$P87,"Fund No.",$F$22,"Global Dimension 2 Code",$F$12,"Company=",$D$6,"Transaction Type",AH$4,"Posting Date",AH$3),0),IF($P87="565001",-$AH$85,IF($P87="565002",-$AH$85,IF($P87="565003",-$AH$85,IF($P87="565004",-$AH$85,0))))))</t>
  </si>
  <si>
    <t>=IF($F$13="yes",0,IF($P87="",0,ROUND(NL("SUM","G/L Budget Entry","Amount","Fund No.",$F$22,"G/L Account No.",$P87,"Company=",$D$6,"Global Dimension 2 Code",$F$12,"Date",$AN$3),0)))</t>
  </si>
  <si>
    <t>=SUM(T87:T88)</t>
  </si>
  <si>
    <t>=SUM(V87:V88)</t>
  </si>
  <si>
    <t>=SUM(X87:X88)</t>
  </si>
  <si>
    <t>=SUM(Z87:Z88)</t>
  </si>
  <si>
    <t>=SUM(AB87:AB88)</t>
  </si>
  <si>
    <t>=SUM(AD87:AD88)</t>
  </si>
  <si>
    <t>=SUM(AF87:AF88)</t>
  </si>
  <si>
    <t>=SUM(AH87:AH88)</t>
  </si>
  <si>
    <t>=SUM(AJ87:AJ88)</t>
  </si>
  <si>
    <t>=SUM(AL87:AL88)</t>
  </si>
  <si>
    <t>=SUM(AN87:AN88)</t>
  </si>
  <si>
    <t>=SUM(AP87:AP88)</t>
  </si>
  <si>
    <t>=B89</t>
  </si>
  <si>
    <t>=NL("Rows", NL("Union", NL("allunique","G/L Entry",$E$20,$E$20,$E$90,"Fund No.",$F$22,$E$21,$H$90,"Company=",$D$6,"Posting Date",$J$5),NL("allunique","G/L Budget Entry",$E$20,$E$20,$E$90,"Fund Code",$F$22,$E$21,$H$90,"Company=",$D$6,"Date",$J$6)))</t>
  </si>
  <si>
    <t>=IF($P92="",0,ROUND(NL("SUM","G/L Entry","Amount","G/L Account No.",$P92,"Fund No.",$F$22,"Global Dimension 2 Code",$F$12,"Global Dimension 1 Code",$H$90,"Company=",$D$6,"Transaction Type",T$4,"Posting Date",T$3),0))</t>
  </si>
  <si>
    <t>=IF(OR(V$1="hide",$P92=""),0,ROUND(NL("SUM","G/L Entry","Amount","G/L Account No.",$P92,"Fund No.",$F$22,"Global Dimension 2 Code",$F$12,"Global Dimension 1 Code",$H$90,"Company=",$D$6,"Transaction Type",V$4,"Posting Date",V$3),0))</t>
  </si>
  <si>
    <t>=IF(OR(X$1="hide",$P92=""),0,ROUND(NL("SUM","G/L Entry","Amount","G/L Account No.",$P92,"Fund No.",$F$22,"Global Dimension 2 Code",$F$12,"Global Dimension 1 Code",$H$90,"Company=",$D$6,"Transaction Type",X$4,"Posting Date",X$3),0))</t>
  </si>
  <si>
    <t>=IF(OR(Z$1="hide",$P92=""),0,ROUND(NL("SUM","G/L Entry","Amount","G/L Account No.",$P92,"Fund No.",$F$22,"Global Dimension 2 Code",$F$12,"Global Dimension 1 Code",$H$90,"Company=",$D$6,"Transaction Type",Z$4,"Posting Date",Z$3),0))</t>
  </si>
  <si>
    <t>=IF(OR(AB$1="hide",$P92=""),0,ROUND(NL("SUM","G/L Entry","Amount","G/L Account No.",$P92,"Fund No.",$F$22,"Global Dimension 2 Code",$F$12,"Global Dimension 1 Code",$H$90,"Company=",$D$6,"Transaction Type",AB$4,"Posting Date",AB$3),0))</t>
  </si>
  <si>
    <t>=IF(OR(AD$1="hide",$P92=""),0,ROUND(NL("SUM","G/L Entry","Amount","G/L Account No.",$P92,"Fund No.",$F$22,"Global Dimension 2 Code",$F$12,"Global Dimension 1 Code",$H$90,"Company=",$D$6,"Transaction Type",AD$4,"Posting Date",AD$3),0))</t>
  </si>
  <si>
    <t>=IF(OR(AF$1="hide",$P92=""),0,ROUND(NL("SUM","G/L Entry","Amount","G/L Account No.",$P92,"Fund No.",$F$22,"Global Dimension 2 Code",$F$12,"Global Dimension 1 Code",$H$90,"Company=",$D$6,"Transaction Type",AF$4,"Posting Date",AF$3),0))</t>
  </si>
  <si>
    <t>=IF(OR(AH$1="hide",$P92=""),0,ROUND(NL("SUM","G/L Entry","Amount","G/L Account No.",$P92,"Fund No.",$F$22,"Global Dimension 2 Code",$F$12,"Global Dimension 1 Code",$H$90,"Company=",$D$6,"Transaction Type",AH$4,"Posting Date",AH$3),0))</t>
  </si>
  <si>
    <t>=IF($F$13="yes",0,IF($P92="",0,ROUND(NL("SUM","G/L Budget Entry","Amount","Fund No.",$F$22,"G/L Account No.",$P92,"Company=",$D$6,"Global Dimension 1 Code",$H$90,"Global Dimension 2 Code",$F$12,"Date",$AN$3),0)))</t>
  </si>
  <si>
    <t>=IF(K93="","500000 51799",K93&amp;" "&amp;"51799")</t>
  </si>
  <si>
    <t>=IF($P93="","",NL("Rows","G/L Account","Name","No.",$P93,"Company=",$D$6))</t>
  </si>
  <si>
    <t>=IF($P93="",0,ROUND(NL("SUM","G/L Entry","Amount","G/L Account No.",$P93,"Fund No.",$F$22,"Global Dimension 2 Code",$F$12,"Global Dimension 1 Code",$H$90,"Company=",$D$6,"Transaction Type",T$4,"Posting Date",T$3),0))</t>
  </si>
  <si>
    <t>=IF(OR(V$1="hide",$P93=""),0,ROUND(NL("SUM","G/L Entry","Amount","G/L Account No.",$P93,"Fund No.",$F$22,"Global Dimension 2 Code",$F$12,"Global Dimension 1 Code",$H$90,"Company=",$D$6,"Transaction Type",V$4,"Posting Date",V$3),0))</t>
  </si>
  <si>
    <t>=IF(OR(X$1="hide",$P93=""),0,ROUND(NL("SUM","G/L Entry","Amount","G/L Account No.",$P93,"Fund No.",$F$22,"Global Dimension 2 Code",$F$12,"Global Dimension 1 Code",$H$90,"Company=",$D$6,"Transaction Type",X$4,"Posting Date",X$3),0))</t>
  </si>
  <si>
    <t>=IF(OR(Z$1="hide",$P93=""),0,ROUND(NL("SUM","G/L Entry","Amount","G/L Account No.",$P93,"Fund No.",$F$22,"Global Dimension 2 Code",$F$12,"Global Dimension 1 Code",$H$90,"Company=",$D$6,"Transaction Type",Z$4,"Posting Date",Z$3),0))</t>
  </si>
  <si>
    <t>=IF(OR(AB$1="hide",$P93=""),0,ROUND(NL("SUM","G/L Entry","Amount","G/L Account No.",$P93,"Fund No.",$F$22,"Global Dimension 2 Code",$F$12,"Global Dimension 1 Code",$H$90,"Company=",$D$6,"Transaction Type",AB$4,"Posting Date",AB$3),0))</t>
  </si>
  <si>
    <t>=IF(OR(AD$1="hide",$P93=""),0,ROUND(NL("SUM","G/L Entry","Amount","G/L Account No.",$P93,"Fund No.",$F$22,"Global Dimension 2 Code",$F$12,"Global Dimension 1 Code",$H$90,"Company=",$D$6,"Transaction Type",AD$4,"Posting Date",AD$3),0))</t>
  </si>
  <si>
    <t>=IF(OR(AF$1="hide",$P93=""),0,ROUND(NL("SUM","G/L Entry","Amount","G/L Account No.",$P93,"Fund No.",$F$22,"Global Dimension 2 Code",$F$12,"Global Dimension 1 Code",$H$90,"Company=",$D$6,"Transaction Type",AF$4,"Posting Date",AF$3),0))</t>
  </si>
  <si>
    <t>=IF(OR(AH$1="hide",$P93=""),0,ROUND(NL("SUM","G/L Entry","Amount","G/L Account No.",$P93,"Fund No.",$F$22,"Global Dimension 2 Code",$F$12,"Global Dimension 1 Code",$H$90,"Company=",$D$6,"Transaction Type",AH$4,"Posting Date",AH$3),0))</t>
  </si>
  <si>
    <t>=IF($F$13="yes",0,IF($P93="",0,ROUND(NL("SUM","G/L Budget Entry","Amount","Fund No.",$F$22,"G/L Account No.",$P93,"Company=",$D$6,"Global Dimension 1 Code",$H$90,"Global Dimension 2 Code",$F$12,"Date",$AN$3),0)))</t>
  </si>
  <si>
    <t>=SUM(T92:T94)</t>
  </si>
  <si>
    <t>=SUM(V92:V94)</t>
  </si>
  <si>
    <t>=SUM(X92:X94)</t>
  </si>
  <si>
    <t>=SUM(Z92:Z94)</t>
  </si>
  <si>
    <t>=SUM(AB92:AB94)</t>
  </si>
  <si>
    <t>=SUM(AD92:AD94)</t>
  </si>
  <si>
    <t>=SUM(AF92:AF94)</t>
  </si>
  <si>
    <t>=SUM(AH92:AH94)</t>
  </si>
  <si>
    <t>=SUM(AJ92:AJ94)</t>
  </si>
  <si>
    <t>=SUM(AL92:AL94)</t>
  </si>
  <si>
    <t>=SUM(AN92:AN94)</t>
  </si>
  <si>
    <t>=SUM(AP92:AP94)</t>
  </si>
  <si>
    <t>=IF($F$6="no",0,SUM(T95+T89+T84+T67))</t>
  </si>
  <si>
    <t>=IF($F$6="no",0,SUM(V95+V89+V84+V67))</t>
  </si>
  <si>
    <t>=IF($F$6="no",0,SUM(X95+X89+X84+X67))</t>
  </si>
  <si>
    <t>=IF($F$6="no",0,SUM(Z95+Z89+Z84+Z67))</t>
  </si>
  <si>
    <t>=IF($F$6="no",0,SUM(AB95+AB89+AB84+AB67))</t>
  </si>
  <si>
    <t>=IF($F$6="no",0,SUM(AD95+AD89+AD84+AD67))</t>
  </si>
  <si>
    <t>=IF($F$6="no",0,SUM(AF95+AF89+AF84+AF67))</t>
  </si>
  <si>
    <t>=IF($F$6="no",0,SUM(AH95+AH89+AH84+AH67))</t>
  </si>
  <si>
    <t>=IF($F$6="no",0,SUM(AJ95+AJ89+AJ84+AJ67))</t>
  </si>
  <si>
    <t>=IF($F$6="no",0,SUM(AL95+AL89+AL84+AL67))</t>
  </si>
  <si>
    <t>=IF($F$6="no",0,SUM(AN95+AN89+AN84+AN67))</t>
  </si>
  <si>
    <t>=IF($F$6="no",0,SUM(AP95+AP89+AP84+AP67))</t>
  </si>
  <si>
    <t>=B97</t>
  </si>
  <si>
    <t>=IF(AQ102=0,"Hide","Show")</t>
  </si>
  <si>
    <t>=NL("Rows", NL("Union", NL("allunique","G/L Entry",$E$20,$E$20,$E$98,"Fund No.",$F$22,$E$21,$H$98,"Company=",$D$6,"Posting Date",$J$5),NL("allunique","G/L Budget Entry",$E$20,$E$20,$E$98,"Fund Code",$F$22,$E$21,$H$98,"Company=",$D$6,"Date",$J$6)))</t>
  </si>
  <si>
    <t>=IF(K100="","500000 58100",K100&amp;" "&amp;"58100")</t>
  </si>
  <si>
    <t>=IF($P100="","",NL("Rows","G/L Account","Name","No.",$P100,"Company=",$D$6))</t>
  </si>
  <si>
    <t>=IF($P100="",0,ROUND(NL("SUM","G/L Entry","Amount","G/L Account No.",$P100,"Fund No.",$F$22,"Global Dimension 2 Code",$F$12,"Global Dimension 1 Code",$H$98,"Company=",$D$6,"Transaction Type",T$4,"Posting Date",T$3),0))</t>
  </si>
  <si>
    <t>=IF(OR(V$1="hide",$P100=""),0,ROUND(NL("SUM","G/L Entry","Amount","G/L Account No.",$P100,"Fund No.",$F$22,"Global Dimension 2 Code",$F$12,"Global Dimension 1 Code",$H$98,"Company=",$D$6,"Transaction Type",V$4,"Posting Date",V$3),0))</t>
  </si>
  <si>
    <t>=IF(OR(X$1="hide",$P100=""),0,ROUND(NL("SUM","G/L Entry","Amount","G/L Account No.",$P100,"Fund No.",$F$22,"Global Dimension 2 Code",$F$12,"Global Dimension 1 Code",$H$98,"Company=",$D$6,"Transaction Type",X$4,"Posting Date",X$3),0))</t>
  </si>
  <si>
    <t>=IF(OR(Z$1="hide",$P100=""),0,ROUND(NL("SUM","G/L Entry","Amount","G/L Account No.",$P100,"Fund No.",$F$22,"Global Dimension 2 Code",$F$12,"Global Dimension 1 Code",$H$98,"Company=",$D$6,"Transaction Type",Z$4,"Posting Date",Z$3),0))</t>
  </si>
  <si>
    <t>=IF(OR(AB$1="hide",$P100=""),0,ROUND(NL("SUM","G/L Entry","Amount","G/L Account No.",$P100,"Fund No.",$F$22,"Global Dimension 2 Code",$F$12,"Global Dimension 1 Code",$H$98,"Company=",$D$6,"Transaction Type",AB$4,"Posting Date",AB$3),0))</t>
  </si>
  <si>
    <t>=IF(OR(AD$1="hide",$P100=""),0,ROUND(NL("SUM","G/L Entry","Amount","G/L Account No.",$P100,"Fund No.",$F$22,"Global Dimension 2 Code",$F$12,"Global Dimension 1 Code",$H$98,"Company=",$D$6,"Transaction Type",AD$4,"Posting Date",AD$3),0))</t>
  </si>
  <si>
    <t>=IF(OR(AF$1="hide",$P100=""),0,ROUND(NL("SUM","G/L Entry","Amount","G/L Account No.",$P100,"Fund No.",$F$22,"Global Dimension 2 Code",$F$12,"Global Dimension 1 Code",$H$98,"Company=",$D$6,"Transaction Type",AF$4,"Posting Date",AF$3),0))</t>
  </si>
  <si>
    <t>=IF(OR(AH$1="hide",$P100=""),0,ROUND(NL("SUM","G/L Entry","Amount","G/L Account No.",$P100,"Fund No.",$F$22,"Global Dimension 2 Code",$F$12,"Global Dimension 1 Code",$H$98,"Company=",$D$6,"Transaction Type",AH$4,"Posting Date",AH$3),0))</t>
  </si>
  <si>
    <t>=IF($F$13="yes",0,IF($P100="",0,ROUND(NL("SUM","G/L Budget Entry","Amount","Fund No.",$F$22,"G/L Account No.",$P100,"Company=",$D$6,"Global Dimension 1 Code",$H$98,"Global Dimension 2 Code",$F$12,"Date",$AN$3),0)))</t>
  </si>
  <si>
    <t>=SUM(T100:T101)</t>
  </si>
  <si>
    <t>=SUM(V100:V101)</t>
  </si>
  <si>
    <t>=SUM(X100:X101)</t>
  </si>
  <si>
    <t>=SUM(Z100:Z101)</t>
  </si>
  <si>
    <t>=SUM(AB100:AB101)</t>
  </si>
  <si>
    <t>=SUM(AD100:AD101)</t>
  </si>
  <si>
    <t>=SUM(AF100:AF101)</t>
  </si>
  <si>
    <t>=SUM(AH100:AH101)</t>
  </si>
  <si>
    <t>=SUM(AJ100:AJ101)</t>
  </si>
  <si>
    <t>=SUM(AL100:AL101)</t>
  </si>
  <si>
    <t>=SUM(AN100:AN101)</t>
  </si>
  <si>
    <t>=SUM(AP100:AP101)</t>
  </si>
  <si>
    <t>=IF(AQ102=0,""," &amp; RESERVES")</t>
  </si>
  <si>
    <t>=TRIM(IF(AND($F$22&gt;"399",$F$22&lt;"500"),"TOTAL OPERATING EXPENSES"&amp;N104,"TOTAL EXPENDITURES"&amp;N104))</t>
  </si>
  <si>
    <t>=SUM(T95+T89+T84+T67+T102)</t>
  </si>
  <si>
    <t>=SUM(V95+V89+V84+V67+V102)</t>
  </si>
  <si>
    <t>=SUM(X95+X89+X84+X67+X102)</t>
  </si>
  <si>
    <t>=SUM(Z95+Z89+Z84+Z67+Z102)</t>
  </si>
  <si>
    <t>=SUM(AB95+AB89+AB84+AB67+AB102)</t>
  </si>
  <si>
    <t>=SUM(AD95+AD89+AD84+AD67+AD102)</t>
  </si>
  <si>
    <t>=SUM(AF95+AF89+AF84+AF67+AF102)</t>
  </si>
  <si>
    <t>=SUM(AH95+AH89+AH84+AH67+AH102)</t>
  </si>
  <si>
    <t>=SUM(AJ95+AJ89+AJ84+AJ67+AJ102)</t>
  </si>
  <si>
    <t>=SUM(AL95+AL89+AL84+AL67+AL102)</t>
  </si>
  <si>
    <t>=SUM(AN95+AN89+AN84+AN67+AN102)</t>
  </si>
  <si>
    <t>=SUM(AP95+AP89+AP84+AP67+AP102)</t>
  </si>
  <si>
    <t>=IF(R106="","Hide","Show")</t>
  </si>
  <si>
    <t>=SUM(T51-T104-T57)</t>
  </si>
  <si>
    <t>=SUM(V51-V104-V57)</t>
  </si>
  <si>
    <t>=SUM(X51-X104-X57)</t>
  </si>
  <si>
    <t>=SUM(Z51-Z104-Z57)</t>
  </si>
  <si>
    <t>=SUM(AB51-AB104-AB57)</t>
  </si>
  <si>
    <t>=SUM(AD51-AD104-AD57)</t>
  </si>
  <si>
    <t>=SUM(AF51-AF104-AF57)</t>
  </si>
  <si>
    <t>=SUM(AH51-AH104-AH57)</t>
  </si>
  <si>
    <t>=SUM(AJ51-AJ104-AJ57)</t>
  </si>
  <si>
    <t>=SUM(AL51-AL104-AL57)</t>
  </si>
  <si>
    <t>=SUM(AN51-AN104-AN57)</t>
  </si>
  <si>
    <t>=SUM(AP51-AP104-AP57)</t>
  </si>
  <si>
    <t>=IF(AND(VALUE($F$22)&gt;399,VALUE($F$22)&lt;500),0,IF(OR($F$11="NO",T$1="HIDE",T$4="ACTUAL"),0,T107+T119))</t>
  </si>
  <si>
    <t>=IF(AND(VALUE($F$22)&gt;399,VALUE($F$22)&lt;500),0,IF(OR($F$11="NO",V$1="HIDE",V$4="ACTUAL"),0,V107+V119))</t>
  </si>
  <si>
    <t>=IF(AND(VALUE($F$22)&gt;399,VALUE($F$22)&lt;500),0,IF(OR($F$11="NO",X$1="HIDE",X$4="ACTUAL"),0,X107+X119))</t>
  </si>
  <si>
    <t>=IF(AND(VALUE($F$22)&gt;399,VALUE($F$22)&lt;500),0,IF(OR($F$11="NO",Z$1="HIDE",Z$4="ACTUAL"),0,Z107+Z119))</t>
  </si>
  <si>
    <t>=IF(AND(VALUE($F$22)&gt;399,VALUE($F$22)&lt;500),0,IF(OR($F$11="NO",AB$1="HIDE",AB$4="ACTUAL"),0,AB107+AB119))</t>
  </si>
  <si>
    <t>=IF(AND(VALUE($F$22)&gt;399,VALUE($F$22)&lt;500),0,IF(OR($F$11="NO",AD$1="HIDE",AD$4="ACTUAL"),0,AD107+AD119))</t>
  </si>
  <si>
    <t>=IF(AND(VALUE($F$22)&gt;399,VALUE($F$22)&lt;500),0,IF(OR($F$11="NO",AF$1="HIDE",AF$4="ACTUAL"),0,AF107+AF119))</t>
  </si>
  <si>
    <t>=IF(AND(VALUE($F$22)&gt;399,VALUE($F$22)&lt;500),0,IF(OR($F$11="NO",AH$1="HIDE",AH$4="ACTUAL"),0,AH107+AH119))</t>
  </si>
  <si>
    <t>=IF(AND(VALUE($F$22)&gt;399,VALUE($F$22)&lt;500),0,IF(OR($F$11="NO",AN$1="HIDE",AN$4="ACTUAL"),0,AN107+AN119))</t>
  </si>
  <si>
    <t>=IF(AND(VALUE($F$22)&gt;399,VALUE($F$22)&lt;500),0,IF(OR($F$11="NO",AP$1="HIDE",AP$4="ACTUAL"),0,AP107+AP119))</t>
  </si>
  <si>
    <t>=NL("Rows", NL("Union", NL("allunique","G/L Entry",$E$20,$E$20,$E111,"Fund No.",$F$22,"Company=",$D$6,"Posting Date",$J$5),NL("allunique","G/L Budget Entry",$E$20,$E$20,$E111,"Fund Code",$F$22,"Company=",$D$6,"Date",$J$6)))</t>
  </si>
  <si>
    <t>="384020"</t>
  </si>
  <si>
    <t>=IF(K116="","399998",K116)</t>
  </si>
  <si>
    <t>=IF($P116="",0,-ROUND(NL("SUM","G/L Entry","Amount","G/L Account No.",$P116,"Fund No.",$F$22,"Global Dimension 2 Code",$F$12,"Company=",$D$6,"Transaction Type",T$4,"Posting Date",T$3),0))</t>
  </si>
  <si>
    <t>=IF(OR(V$1="hide",$P116=""),0,-ROUND(NL("SUM","G/L Entry","Amount","G/L Account No.",$P116,"Fund No.",$F$22,"Global Dimension 2 Code",$F$12,"Company=",$D$6,"Transaction Type",V$4,"Posting Date",V$3),0))</t>
  </si>
  <si>
    <t>=IF(OR(X$1="hide",$P116=""),0,-ROUND(NL("SUM","G/L Entry","Amount","G/L Account No.",$P116,"Fund No.",$F$22,"Global Dimension 2 Code",$F$12,"Company=",$D$6,"Transaction Type",X$4,"Posting Date",X$3),0))</t>
  </si>
  <si>
    <t>=IF(OR(Z$1="hide",$P116=""),0,-ROUND(NL("SUM","G/L Entry","Amount","G/L Account No.",$P116,"Fund No.",$F$22,"Global Dimension 2 Code",$F$12,"Company=",$D$6,"Transaction Type",Z$4,"Posting Date",Z$3),0))</t>
  </si>
  <si>
    <t>=IF(OR(AB$1="hide",$P116=""),0,-ROUND(NL("SUM","G/L Entry","Amount","G/L Account No.",$P116,"Fund No.",$F$22,"Global Dimension 2 Code",$F$12,"Company=",$D$6,"Transaction Type",AB$4,"Posting Date",AB$3),0))</t>
  </si>
  <si>
    <t>=IF(OR(AD$1="hide",$P116=""),0,-ROUND(NL("SUM","G/L Entry","Amount","G/L Account No.",$P116,"Fund No.",$F$22,"Global Dimension 2 Code",$F$12,"Company=",$D$6,"Transaction Type",AD$4,"Posting Date",AD$3),0))</t>
  </si>
  <si>
    <t>=IF(OR(AF$1="hide",$P116=""),0,-ROUND(NL("SUM","G/L Entry","Amount","G/L Account No.",$P116,"Fund No.",$F$22,"Global Dimension 2 Code",$F$12,"Company=",$D$6,"Transaction Type",AF$4,"Posting Date",AF$3),0))</t>
  </si>
  <si>
    <t>=IF(OR(AH$1="hide",$P116=""),0,-ROUND(NL("SUM","G/L Entry","Amount","G/L Account No.",$P116,"Fund No.",$F$22,"Global Dimension 2 Code",$F$12,"Company=",$D$6,"Transaction Type",AH$4,"Posting Date",AH$3),0))</t>
  </si>
  <si>
    <t>=IF($F$13="yes",0,IF($P116="",0,-ROUND(NL("SUM","G/L Budget Entry","Amount","Fund No.",$F$22,"G/L Account No.",$P116,"Company=",$D$6,"Global Dimension 2 Code",$F$12,"Date",$AN$3),0)))</t>
  </si>
  <si>
    <t>=IF(K117="","399998",K117)</t>
  </si>
  <si>
    <t>=IF($P117="",0,-ROUND(NL("SUM","G/L Entry","Amount","G/L Account No.",$P117,"Fund No.",$F$22,"Global Dimension 2 Code",$F$12,"Company=",$D$6,"Transaction Type",T$4,"Posting Date",T$3),0))</t>
  </si>
  <si>
    <t>=IF(OR(V$1="hide",$P117=""),0,-ROUND(NL("SUM","G/L Entry","Amount","G/L Account No.",$P117,"Fund No.",$F$22,"Global Dimension 2 Code",$F$12,"Company=",$D$6,"Transaction Type",V$4,"Posting Date",V$3),0))</t>
  </si>
  <si>
    <t>=IF(OR(X$1="hide",$P117=""),0,-ROUND(NL("SUM","G/L Entry","Amount","G/L Account No.",$P117,"Fund No.",$F$22,"Global Dimension 2 Code",$F$12,"Company=",$D$6,"Transaction Type",X$4,"Posting Date",X$3),0))</t>
  </si>
  <si>
    <t>=IF(OR(Z$1="hide",$P117=""),0,-ROUND(NL("SUM","G/L Entry","Amount","G/L Account No.",$P117,"Fund No.",$F$22,"Global Dimension 2 Code",$F$12,"Company=",$D$6,"Transaction Type",Z$4,"Posting Date",Z$3),0))</t>
  </si>
  <si>
    <t>=IF(OR(AB$1="hide",$P117=""),0,-ROUND(NL("SUM","G/L Entry","Amount","G/L Account No.",$P117,"Fund No.",$F$22,"Global Dimension 2 Code",$F$12,"Company=",$D$6,"Transaction Type",AB$4,"Posting Date",AB$3),0))</t>
  </si>
  <si>
    <t>=IF(OR(AD$1="hide",$P117=""),0,-ROUND(NL("SUM","G/L Entry","Amount","G/L Account No.",$P117,"Fund No.",$F$22,"Global Dimension 2 Code",$F$12,"Company=",$D$6,"Transaction Type",AD$4,"Posting Date",AD$3),0))</t>
  </si>
  <si>
    <t>=IF(OR(AF$1="hide",$P117=""),0,-ROUND(NL("SUM","G/L Entry","Amount","G/L Account No.",$P117,"Fund No.",$F$22,"Global Dimension 2 Code",$F$12,"Company=",$D$6,"Transaction Type",AF$4,"Posting Date",AF$3),0))</t>
  </si>
  <si>
    <t>=IF(OR(AH$1="hide",$P117=""),0,-ROUND(NL("SUM","G/L Entry","Amount","G/L Account No.",$P117,"Fund No.",$F$22,"Global Dimension 2 Code",$F$12,"Company=",$D$6,"Transaction Type",AH$4,"Posting Date",AH$3),0))</t>
  </si>
  <si>
    <t>=IF($F$13="yes",0,IF($P117="",0,-ROUND(NL("SUM","G/L Budget Entry","Amount","Fund No.",$F$22,"G/L Account No.",$P117,"Company=",$D$6,"Global Dimension 2 Code",$F$12,"Date",$AN$3),0)))</t>
  </si>
  <si>
    <t>=SUM(T112:T118)</t>
  </si>
  <si>
    <t>=SUM(V112:V118)</t>
  </si>
  <si>
    <t>=SUM(X112:X118)</t>
  </si>
  <si>
    <t>=SUM(Z112:Z118)</t>
  </si>
  <si>
    <t>=SUM(AB112:AB118)</t>
  </si>
  <si>
    <t>=SUM(AD112:AD118)</t>
  </si>
  <si>
    <t>=SUM(AF112:AF118)</t>
  </si>
  <si>
    <t>=SUM(AH112:AH118)</t>
  </si>
  <si>
    <t>=SUM(AJ112:AJ118)</t>
  </si>
  <si>
    <t>=SUM(AL112:AL118)</t>
  </si>
  <si>
    <t>=SUM(AN112:AN118)</t>
  </si>
  <si>
    <t>=SUM(AP112:AP118)</t>
  </si>
  <si>
    <t>=IF(OR(T$4="ACTUAL",T$1="hide"),0,T$110)</t>
  </si>
  <si>
    <t>=IF(OR(V$4="ACTUAL",V$1="hide"),0,V$110)</t>
  </si>
  <si>
    <t>=IF(OR(X$4="ACTUAL",X$1="hide"),0,X$110)</t>
  </si>
  <si>
    <t>=IF(OR(Z$4="ACTUAL",Z$1="hide"),0,Z$110)</t>
  </si>
  <si>
    <t>=IF(OR(AB$4="ACTUAL",AB$1="hide"),0,AB$110)</t>
  </si>
  <si>
    <t>=IF(OR(AD$4="ACTUAL",AD$1="hide"),0,AD$110)</t>
  </si>
  <si>
    <t>=IF(OR(AF$4="ACTUAL",AF$1="hide"),0,AF$110)</t>
  </si>
  <si>
    <t>=IF(OR(AH$4="ACTUAL",AH$1="hide"),0,AH$110)</t>
  </si>
  <si>
    <t>=IF(OR(AJ$4="ACTUAL",AJ$1="hide"),0,AJ$110)</t>
  </si>
  <si>
    <t>=IF(OR(AN$4="ACTUAL",AN$1="hide"),0,AN$110)</t>
  </si>
  <si>
    <t>=IF(OR(AP$4="ACTUAL",AP$1="hide"),0,AP$110)</t>
  </si>
  <si>
    <t>=IF(OR($F$11="Yes",$AQ122&lt;&gt;0),"Show",IF($AQ122=0,"Hide","Show"))</t>
  </si>
  <si>
    <t>=SUM(T119:T120)</t>
  </si>
  <si>
    <t>=SUM(V119:V120)</t>
  </si>
  <si>
    <t>=SUM(X119:X120)</t>
  </si>
  <si>
    <t>=SUM(Z119:Z120)</t>
  </si>
  <si>
    <t>=SUM(AB119:AB120)</t>
  </si>
  <si>
    <t>=SUM(AD119:AD120)</t>
  </si>
  <si>
    <t>=SUM(AF119:AF120)</t>
  </si>
  <si>
    <t>=SUM(AH119:AH120)</t>
  </si>
  <si>
    <t>=SUM(AJ119:AJ120)</t>
  </si>
  <si>
    <t>=SUM(AL119:AL120)</t>
  </si>
  <si>
    <t>=SUM(AN119:AN120)</t>
  </si>
  <si>
    <t>=SUM(AP119:AP120)</t>
  </si>
  <si>
    <t>=IF(T$4="ACTUAL",SUM(T122+T107),SUM(T122+T107+(IF(ABS(T110)&lt;0.49,0,-T110))))</t>
  </si>
  <si>
    <t>=IF(V$4="ACTUAL",SUM(V122+V107),SUM(V122+V107+(IF(ABS(V110)&lt;0.49,0,-V110))))</t>
  </si>
  <si>
    <t>=IF(X$4="ACTUAL",SUM(X122+X107),SUM(X122+X107+(IF(ABS(X110)&lt;0.49,0,-X110))))</t>
  </si>
  <si>
    <t>=IF(Z$4="ACTUAL",SUM(Z122+Z107),SUM(Z122+Z107+(IF(ABS(Z110)&lt;0.49,0,-Z110))))</t>
  </si>
  <si>
    <t>=IF(AB$4="ACTUAL",SUM(AB122+AB107),SUM(AB122+AB107+(IF(ABS(AB110)&lt;0.49,0,-AB110))))</t>
  </si>
  <si>
    <t>=IF(AD$4="ACTUAL",SUM(AD122+AD107),SUM(AD122+AD107+(IF(ABS(AD110)&lt;0.49,0,-AD110))))</t>
  </si>
  <si>
    <t>=IF(AF$4="ACTUAL",SUM(AF122+AF107),SUM(AF122+AF107+(IF(ABS(AF110)&lt;0.49,0,-AF110))))</t>
  </si>
  <si>
    <t>=IF(AH$4="ACTUAL",SUM(AH122+AH107),SUM(AH122+AH107+(IF(ABS(AH110)&lt;0.49,0,-AH110))))</t>
  </si>
  <si>
    <t>=IF(AJ$4="ACTUAL",SUM(AJ122+AJ107),SUM(AJ122+AJ107+(IF(ABS(AJ110)&lt;0.49,0,-AJ110))))</t>
  </si>
  <si>
    <t>=IF(AL$4="ACTUAL",SUM(AL122+AL107),SUM(AL122+AL107+(IF(ABS(AL110)&lt;0.49,0,-AL110))))</t>
  </si>
  <si>
    <t>=IF(AN$4="ACTUAL",SUM(AN122+AN107),SUM(AN122+AN107+(IF(ABS(AN110)&lt;0.49,0,-AN110))))</t>
  </si>
  <si>
    <t>=IF(AP$4="ACTUAL",SUM(AP122+AP107),SUM(AP122+AP107+(IF(ABS(AP110)&lt;0.49,0,-AP110))))</t>
  </si>
  <si>
    <t>=IF($O126="",0,ROUND(-NL("SUM","G/L Entry","Amount","G/L Account No.",$O126,"Fund No.",$F$22,"Company=",$D$6,"Global Dimension 2 Code",$F$12,"Transaction Type","Actual","Posting Date",T$3),0))</t>
  </si>
  <si>
    <t>=IF($O126="",0,IF(V$1="SHOW",ROUND(-NL("SUM","G/L Entry","Amount","G/L Account No.",$O126,"Fund No.",$F$22,"Company=",$D$6,"Global Dimension 2 Code",$F$12,"Transaction Type","Actual","Posting Date",V$3),0),0))</t>
  </si>
  <si>
    <t>=IF($O126="",0,IF(X$1="SHOW",ROUND(-NL("SUM","G/L Entry","Amount","G/L Account No.",$O126,"Fund No.",$F$22,"Company=",$D$6,"Global Dimension 2 Code",$F$12,"Transaction Type","Actual","Posting Date",X$3),0),0))</t>
  </si>
  <si>
    <t>=IF($O126="",0,IF(Z$1="SHOW",ROUND(-NL("SUM","G/L Entry","Amount","G/L Account No.",$O126,"Fund No.",$F$22,"Company=",$D$6,"Global Dimension 2 Code",$F$12,"Transaction Type","Actual","Posting Date",Z$3),0),0))</t>
  </si>
  <si>
    <t>=IF($O126="",0,IF(AB$1="SHOW",ROUND(-NL("SUM","G/L Entry","Amount","G/L Account No.",$O126,"Fund No.",$F$22,"Company=",$D$6,"Global Dimension 2 Code",$F$12,"Transaction Type","Actual","Posting Date",AB$3),0),0))</t>
  </si>
  <si>
    <t>=IF($O126="",0,IF(AD$1="SHOW",ROUND(-NL("SUM","G/L Entry","Amount","G/L Account No.",$O126,"Fund No.",$F$22,"Company=",$D$6,"Global Dimension 2 Code",$F$12,"Transaction Type","Actual","Posting Date",AD$3),0),0))</t>
  </si>
  <si>
    <t>=IF($O126="",0,IF(AF$1="SHOW",ROUND(-NL("SUM","G/L Entry","Amount","G/L Account No.",$O126,"Fund No.",$F$22,"Company=",$D$6,"Global Dimension 2 Code",$F$12,"Transaction Type","Actual","Posting Date",AF$3),0),0))</t>
  </si>
  <si>
    <t>=IF($O126="",0,IF(AH$1="SHOW",ROUND(-NL("SUM","G/L Entry","Amount","G/L Account No.",$O126,"Fund No.",$F$22,"Company=",$D$6,"Global Dimension 2 Code",$F$12,"Transaction Type","Actual","Posting Date",AH$3),0),0))</t>
  </si>
  <si>
    <t>=AH127</t>
  </si>
  <si>
    <t>=$Z$160</t>
  </si>
  <si>
    <t>=ABS(T51)+ABS(T104)+ABS(T122)</t>
  </si>
  <si>
    <t>=ABS(V51)+ABS(V104)+ABS(V122)</t>
  </si>
  <si>
    <t>=ABS(X51)+ABS(X104)+ABS(X122)</t>
  </si>
  <si>
    <t>=ABS(Z51)+ABS(Z104)+ABS(Z122)</t>
  </si>
  <si>
    <t>=ABS(AB51)+ABS(AB104)+ABS(AB122)</t>
  </si>
  <si>
    <t>=ABS(AD51)+ABS(AD104)+ABS(AD122)</t>
  </si>
  <si>
    <t>=ABS(AF51)+ABS(AF104)+ABS(AF122)</t>
  </si>
  <si>
    <t>=ABS(AH51)+ABS(AH104)+ABS(AH122)</t>
  </si>
  <si>
    <t>=AH128+AJ128</t>
  </si>
  <si>
    <t>=IF($O129="",0,IF(AND(T$4="BUDGET",T$128=0),0,ROUND(-NL("SUM","G/L Entry","Amount","G/L Account No.",$O129,"Fund No.",$F$22,"Company=",$D$6,"Transaction Type","ACTUAL","Global Dimension 2 Code",$F$12,"Posting Date",T$5)+T126+T127,0)))</t>
  </si>
  <si>
    <t>=IF(V$1="Show",V131-V126-V124,0)</t>
  </si>
  <si>
    <t>=IF(X$1="Show",X131-X126-X124,0)</t>
  </si>
  <si>
    <t>=IF(Z$1="Show",Z131-Z126-Z124,0)</t>
  </si>
  <si>
    <t>=IF(AB$1="Show",AB131-AB126-AB124,0)</t>
  </si>
  <si>
    <t>=IF(OR($O129="",AD$1="HIDE"),0,IF(AND(AD$4="BUDGET",AD$128=0),0,ROUND(-NL("SUM","G/L Entry","Amount","G/L Account No.",$O129,"Fund No.",$F$22,"Company=",$D$6,"Transaction Type","ACTUAL","Global Dimension 2 Code",$F$12,"Posting Date",AD$5)+AD126+AD127,0)))</t>
  </si>
  <si>
    <t>=IF(OR($O129="",AF$1="HIDE"),0,IF(AND(AF$4="BUDGET",AF$128=0),0,AH129))</t>
  </si>
  <si>
    <t>=IF(OR($O129="",AH$1="HIDE"),0,IF(AND(AH$4="BUDGET",AH$128=0),0,ROUND(-NL("SUM","G/L Entry","Amount","G/L Account No.",$O129,"Fund No.",$F$22,"Company=",$D$6,"Transaction Type","ACTUAL","Global Dimension 2 Code",$F$12,"Posting Date",AH$5)+AH126+AH127,0)))</t>
  </si>
  <si>
    <t>=AH129+AJ129</t>
  </si>
  <si>
    <t>=AL131</t>
  </si>
  <si>
    <t>=SUM(T124+T129)</t>
  </si>
  <si>
    <t>=IF(V$1="Hide",0,X129)</t>
  </si>
  <si>
    <t>=IF(X$1="Hide",0,Z129)</t>
  </si>
  <si>
    <t>=IF(Z$1="Hide",0,AB129)</t>
  </si>
  <si>
    <t>=IF(AB$1="Hide",0,AF129)</t>
  </si>
  <si>
    <t>=SUM(AD124+AD129)</t>
  </si>
  <si>
    <t>=SUM(AF124+AF129)</t>
  </si>
  <si>
    <t>=SUM(AH124+AH129)</t>
  </si>
  <si>
    <t>=SUM(AJ124+AJ129)</t>
  </si>
  <si>
    <t>=SUM(AL124+AL129)</t>
  </si>
  <si>
    <t>=SUM(AN124+AN129)</t>
  </si>
  <si>
    <t>=SUM(AP124+AP129)</t>
  </si>
  <si>
    <t>=ABS(SUMIF(V131:AP131,"&gt;0")-SUMIF(V131:AP131,"&lt;0"))</t>
  </si>
  <si>
    <t>=SUM(AQ34:AQ131)</t>
  </si>
  <si>
    <t>=IF(T$1="HIDE",0,IF($P139="",0,-NL("SUM","G/L Entry","Amount","G/L Account No.",$P139,"Global Dimension 2 Code",$F$12,"Fund No.",$F$22,"Company=",$D$6,"Posting Date",T$3,"Transaction Type",T$4))-T51)</t>
  </si>
  <si>
    <t>=IF(V$1="HIDE",0,IF($P139="",0,-NL("SUM","G/L Entry","Amount","G/L Account No.",$P139,"Global Dimension 2 Code",$F$12,"Fund No.",$F$22,"Company=",$D$6,"Posting Date",V$3,"Transaction Type",V$4))-V51)</t>
  </si>
  <si>
    <t>=IF(X$1="HIDE",0,IF($P139="",0,-NL("SUM","G/L Entry","Amount","G/L Account No.",$P139,"Global Dimension 2 Code",$F$12,"Fund No.",$F$22,"Company=",$D$6,"Posting Date",X$3,"Transaction Type",X$4))-X51)</t>
  </si>
  <si>
    <t>=IF(Z$1="HIDE",0,IF($P139="",0,-NL("SUM","G/L Entry","Amount","G/L Account No.",$P139,"Global Dimension 2 Code",$F$12,"Fund No.",$F$22,"Company=",$D$6,"Posting Date",Z$3,"Transaction Type",Z$4))-Z51)</t>
  </si>
  <si>
    <t>=IF(AB$1="HIDE",0,IF($P139="",0,-NL("SUM","G/L Entry","Amount","G/L Account No.",$P139,"Global Dimension 2 Code",$F$12,"Fund No.",$F$22,"Company=",$D$6,"Posting Date",AB$3,"Transaction Type",AB$4))-AB51)</t>
  </si>
  <si>
    <t>=IF(AD$1="HIDE",0,IF($P139="",0,-NL("SUM","G/L Entry","Amount","G/L Account No.",$P139,"Global Dimension 2 Code",$F$12,"Fund No.",$F$22,"Company=",$D$6,"Posting Date",AD$3,"Transaction Type",AD$4))-AD51)</t>
  </si>
  <si>
    <t>=IF(AF$1="HIDE",0,IF($P139="",0,-NL("SUM","G/L Entry","Amount","G/L Account No.",$P139,"Global Dimension 2 Code",$F$12,"Fund No.",$F$22,"Company=",$D$6,"Posting Date",AF$3,"Transaction Type",AF$4))-AF51)</t>
  </si>
  <si>
    <t>=IF(AH$1="HIDE",0,IF($P139="",0,-NL("SUM","G/L Entry","Amount","G/L Account No.",$P139,"Global Dimension 2 Code",$F$12,"Fund No.",$F$22,"Company=",$D$6,"Posting Date",AH$3,"Transaction Type",AH$4))-AH51)</t>
  </si>
  <si>
    <t>=IF(T$1="HIDE",0,IF($P140="",0,NL("SUM","G/L Entry","Amount","G/L Account No.",$P140,"Global Dimension 2 Code",$F$12,"Fund No.",$F$22,"Company=",$D$6,"Posting Date",T$3,"Transaction Type",T$4))-T104-T57)</t>
  </si>
  <si>
    <t>=IF(V$1="HIDE",0,IF($P140="",0,NL("SUM","G/L Entry","Amount","G/L Account No.",$P140,"Global Dimension 2 Code",$F$12,"Fund No.",$F$22,"Company=",$D$6,"Posting Date",V$3,"Transaction Type",V$4))-V104-V57)</t>
  </si>
  <si>
    <t>=IF(X$1="HIDE",0,IF($P140="",0,NL("SUM","G/L Entry","Amount","G/L Account No.",$P140,"Global Dimension 2 Code",$F$12,"Fund No.",$F$22,"Company=",$D$6,"Posting Date",X$3,"Transaction Type",X$4))-X104-X57)</t>
  </si>
  <si>
    <t>=IF(Z$1="HIDE",0,IF($P140="",0,NL("SUM","G/L Entry","Amount","G/L Account No.",$P140,"Global Dimension 2 Code",$F$12,"Fund No.",$F$22,"Company=",$D$6,"Posting Date",Z$3,"Transaction Type",Z$4))-Z104-Z57)</t>
  </si>
  <si>
    <t>=IF(AB$1="HIDE",0,IF($P140="",0,NL("SUM","G/L Entry","Amount","G/L Account No.",$P140,"Global Dimension 2 Code",$F$12,"Fund No.",$F$22,"Company=",$D$6,"Posting Date",AB$3,"Transaction Type",AB$4))-AB104-AB57)</t>
  </si>
  <si>
    <t>=IF(AD$1="HIDE",0,IF($P140="",0,NL("SUM","G/L Entry","Amount","G/L Account No.",$P140,"Global Dimension 2 Code",$F$12,"Fund No.",$F$22,"Company=",$D$6,"Posting Date",AD$3,"Transaction Type",AD$4))-AD104-AD57)</t>
  </si>
  <si>
    <t>=IF(AF$1="HIDE",0,IF($P140="",0,NL("SUM","G/L Entry","Amount","G/L Account No.",$P140,"Global Dimension 2 Code",$F$12,"Fund No.",$F$22,"Company=",$D$6,"Posting Date",AF$3,"Transaction Type",AF$4))-AF104-AF57)</t>
  </si>
  <si>
    <t>=IF(AH$1="HIDE",0,IF($P140="",0,NL("SUM","G/L Entry","Amount","G/L Account No.",$P140,"Global Dimension 2 Code",$F$12,"Fund No.",$F$22,"Company=",$D$6,"Posting Date",AH$3,"Transaction Type",AH$4))-AH104-AH57)</t>
  </si>
  <si>
    <t>=IF(T$1="HIDE",0,IF($P141="",0,NL("SUM","G/L Entry","Amount","G/L Account No.",$P141,"Global Dimension 2 Code",$F$12,"Fund No.",$F$22,"Company=",$D$6,"Posting Date",T$3,"Transaction Type",T$4))+T122-T120)</t>
  </si>
  <si>
    <t>=IF(V$1="HIDE",0,IF($P141="",0,NL("SUM","G/L Entry","Amount","G/L Account No.",$P141,"Global Dimension 2 Code",$F$12,"Fund No.",$F$22,"Company=",$D$6,"Posting Date",V$3,"Transaction Type",V$4))+V122-V120)</t>
  </si>
  <si>
    <t>=IF(X$1="HIDE",0,IF($P141="",0,NL("SUM","G/L Entry","Amount","G/L Account No.",$P141,"Global Dimension 2 Code",$F$12,"Fund No.",$F$22,"Company=",$D$6,"Posting Date",X$3,"Transaction Type",X$4))+X122-X120)</t>
  </si>
  <si>
    <t>=IF(Z$1="HIDE",0,IF($P141="",0,NL("SUM","G/L Entry","Amount","G/L Account No.",$P141,"Global Dimension 2 Code",$F$12,"Fund No.",$F$22,"Company=",$D$6,"Posting Date",Z$3,"Transaction Type",Z$4))+Z122-Z120)</t>
  </si>
  <si>
    <t>=IF(AB$1="HIDE",0,IF($P141="",0,NL("SUM","G/L Entry","Amount","G/L Account No.",$P141,"Global Dimension 2 Code",$F$12,"Fund No.",$F$22,"Company=",$D$6,"Posting Date",AB$3,"Transaction Type",AB$4))+AB122-AB120)</t>
  </si>
  <si>
    <t>=IF(AD$1="HIDE",0,IF($P141="",0,NL("SUM","G/L Entry","Amount","G/L Account No.",$P141,"Global Dimension 2 Code",$F$12,"Fund No.",$F$22,"Company=",$D$6,"Posting Date",AD$3,"Transaction Type",AD$4))+AD122-AD120)</t>
  </si>
  <si>
    <t>=IF(AF$1="HIDE",0,IF($P141="",0,NL("SUM","G/L Entry","Amount","G/L Account No.",$P141,"Global Dimension 2 Code",$F$12,"Fund No.",$F$22,"Company=",$D$6,"Posting Date",AF$3,"Transaction Type",AF$4))+AF122-AF120)</t>
  </si>
  <si>
    <t>=IF(AH$1="HIDE",0,IF($P141="",0,NL("SUM","G/L Entry","Amount","G/L Account No.",$P141,"Global Dimension 2 Code",$F$12,"Fund No.",$F$22,"Company=",$D$6,"Posting Date",AH$3,"Transaction Type",AH$4))+AH122-AH120)</t>
  </si>
  <si>
    <t>=IF(T$1="SHOW",IF(OR($P142="",T$4="BUDGET"),0,-T131-ROUND(NL("SUM","G/L Entry","Amount","G/L Account No.",$P142,"Global Dimension 2 Code",$F$12,"Fund No.",$F$22,"Company=",$D$6,"Transaction Type",T$4,"Posting Date",T$2),0)),0)</t>
  </si>
  <si>
    <t>=IF(V$1="SHOW",IF(OR($P142="",V$4="BUDGET"),0,-V131-ROUND(NL("SUM","G/L Entry","Amount","G/L Account No.",$P142,"Global Dimension 2 Code",$F$12,"Fund No.",$F$22,"Company=",$D$6,"Transaction Type",V$4,"Posting Date",V$2),0)),0)</t>
  </si>
  <si>
    <t>=IF(X$1="SHOW",IF(OR($P142="",X$4="BUDGET"),0,-X131-ROUND(NL("SUM","G/L Entry","Amount","G/L Account No.",$P142,"Global Dimension 2 Code",$F$12,"Fund No.",$F$22,"Company=",$D$6,"Transaction Type",X$4,"Posting Date",X$2),0)),0)</t>
  </si>
  <si>
    <t>=IF(Z$1="SHOW",IF(OR($P142="",Z$4="BUDGET"),0,-Z131-ROUND(NL("SUM","G/L Entry","Amount","G/L Account No.",$P142,"Global Dimension 2 Code",$F$12,"Fund No.",$F$22,"Company=",$D$6,"Transaction Type",Z$4,"Posting Date",Z$2),0)),0)</t>
  </si>
  <si>
    <t>=IF(AB$1="SHOW",IF(OR($P142="",AB$4="BUDGET"),0,-AB131-ROUND(NL("SUM","G/L Entry","Amount","G/L Account No.",$P142,"Global Dimension 2 Code",$F$12,"Fund No.",$F$22,"Company=",$D$6,"Transaction Type",AB$4,"Posting Date",AB$2),0)),0)</t>
  </si>
  <si>
    <t>=IF(AD$1="SHOW",IF(OR($P142="",AD$4="BUDGET"),0,-AD131-ROUND(NL("SUM","G/L Entry","Amount","G/L Account No.",$P142,"Global Dimension 2 Code",$F$12,"Fund No.",$F$22,"Company=",$D$6,"Transaction Type",AD$4,"Posting Date",AD$2),0)),0)</t>
  </si>
  <si>
    <t>=IF(AF$1="SHOW",IF(OR($P142="",AF$4="BUDGET"),0,-AF131-ROUND(NL("SUM","G/L Entry","Amount","G/L Account No.",$P142,"Global Dimension 2 Code",$F$12,"Fund No.",$F$22,"Company=",$D$6,"Transaction Type",AF$4,"Posting Date",AF$2),0)),0)</t>
  </si>
  <si>
    <t>=IF(AH$1="SHOW",IF(OR($P142="",AH$4="BUDGET"),0,-AH131-ROUND(NL("SUM","G/L Entry","Amount","G/L Account No.",$P142,"Global Dimension 2 Code",$F$12,"Fund No.",$F$22,"Company=",$D$6,"Transaction Type",AH$4,"Posting Date",AH$2),0)),0)</t>
  </si>
  <si>
    <t>=IF(COUNTIF(V144:AP144,"ERROR")=0,"Hide","Show")</t>
  </si>
  <si>
    <t>=COUNTIF(V144:AP144,"ERROR")</t>
  </si>
  <si>
    <t>=IF(OR(ABS(V139)&gt;10,ABS(V140)&gt;10,ABS(V141)&gt;10,ABS(V142)&gt;10),"ERROR","")</t>
  </si>
  <si>
    <t>=IF(OR(ABS(X139)&gt;10,ABS(X140)&gt;10,ABS(X141)&gt;10,ABS(X142)&gt;10),"ERROR","")</t>
  </si>
  <si>
    <t>=IF(OR(ABS(Z139)&gt;10,ABS(Z140)&gt;10,ABS(Z141)&gt;10,ABS(Z142)&gt;10),"ERROR","")</t>
  </si>
  <si>
    <t>=IF(OR(ABS(AB139)&gt;10,ABS(AB140)&gt;10,ABS(AB141)&gt;10,ABS(AB142)&gt;10),"ERROR","")</t>
  </si>
  <si>
    <t>=IF(OR(ABS(AD139)&gt;10,ABS(AD140)&gt;10,ABS(AD141)&gt;10,ABS(AD142)&gt;10),"ERROR","")</t>
  </si>
  <si>
    <t>=IF(OR(ABS(AF139)&gt;10,ABS(AF140)&gt;10,ABS(AF141)&gt;10,ABS(AF142)&gt;10),"ERROR","")</t>
  </si>
  <si>
    <t>=IF(OR(ABS(AH139)&gt;10,ABS(AH140)&gt;10,ABS(AH141)&gt;10,ABS(AH142)&gt;10),"ERROR","")</t>
  </si>
  <si>
    <t>=IF(OR(ABS(AN139)&gt;10,ABS(AN140)&gt;10,ABS(AN141)&gt;10,ABS(AN142)&gt;10),"ERROR","")</t>
  </si>
  <si>
    <t>=T131</t>
  </si>
  <si>
    <t>=IF(AD$1="HIDE",0,IF($P147="",0,-NL("SUM","G/L Entry","Amount","G/L Account No.",$P147,"Global Dimension 2 Code",$F$12,"Fund No.",$F$22,"Company=",$D$6,"Posting Date",AD$3,AD$7,AD$8,"Transaction Type",AD$4)))</t>
  </si>
  <si>
    <t>=IF(AF$1="HIDE",0,IF($P147="",0,-NL("SUM","G/L Entry","Amount","G/L Account No.",$P147,"Global Dimension 2 Code",$F$12,"Fund No.",$F$22,"Company=",$D$6,"Posting Date",AF$3,AF$7,AF$8,"Transaction Type",AF$4)))</t>
  </si>
  <si>
    <t>=IF(AD$1="HIDE",0,IF($P148="",0,NL("SUM","G/L Entry","Amount","G/L Account No.",$P148,"Global Dimension 2 Code",$F$12,"Fund No.",$F$22,"Company=",$D$6,"Posting Date",AD$3,"Transaction Type",AD$4,AD$7,AD$8)))</t>
  </si>
  <si>
    <t>=IF(AF$1="HIDE",0,IF($P148="",0,NL("SUM","G/L Entry","Amount","G/L Account No.",$P148,"Global Dimension 2 Code",$F$12,"Fund No.",$F$22,"Company=",$D$6,"Posting Date",AF$3,"Transaction Type",AF$4,AF$7,AF$8)))</t>
  </si>
  <si>
    <t>=T148-T147</t>
  </si>
  <si>
    <t>=IF(AD$1="HIDE",0,IF($P149="",0,NL("SUM","G/L Entry","Amount","G/L Account No.",$P149,"Global Dimension 2 Code",$F$12,"Fund No.",$F$22,"Company=",$D$6,"Posting Date",AD$3,"Transaction Type",AD$4,AD$7,AD$8)))</t>
  </si>
  <si>
    <t>=IF(AF$1="HIDE",0,IF($P149="",0,NL("SUM","G/L Entry","Amount","G/L Account No.",$P149,"Global Dimension 2 Code",$F$12,"Fund No.",$F$22,"Company=",$D$6,"Posting Date",AF$3,"Transaction Type",AF$4,AF$7,AF$8)))</t>
  </si>
  <si>
    <t>=ABS(AD147)+ABS(AD148)+ABS(AD149)</t>
  </si>
  <si>
    <t>=ABS(AF147)+ABS(AF148)+ABS(AF149)</t>
  </si>
  <si>
    <t>=-ROUND(NL("SUM","G/L Entry","Amount","G/L Account No.",$P153,"Fund No.",$F$22,"Company=",$D$6,"Transaction Type","ACTUAL","Global Dimension 2 Code",$F$12,"Posting Date",$J$4),0)</t>
  </si>
  <si>
    <t>=IF($X153=0,0,$AB153)</t>
  </si>
  <si>
    <t>=T149</t>
  </si>
  <si>
    <t>=IF($X154=0,0,IF($Z153=0,$AB154,0))</t>
  </si>
  <si>
    <t>=IF($X155=0,0,IF(SUM($Z153:$Z154)=0,$AB155,0))</t>
  </si>
  <si>
    <t>=IF($X156=0,0,IF(SUM($Z153:$Z155)=0,$AB156,0))</t>
  </si>
  <si>
    <t>=IF($X157=0,0,IF(SUM($Z153:$Z156)=0,$AB157,0))</t>
  </si>
  <si>
    <t>=P157+1</t>
  </si>
  <si>
    <t>=IF($C$9=0,0,ROUND(NL("SUM","G/L Entry","Amount","G/L Account No.",$P158,"Fund No.",$F$22,"Company=",$D$6,"Transaction Type","ACTUAL","Global Dimension 1 Code",$V158,"Global Dimension 2 Code",$F$12,"Posting Date",$J$4),0))</t>
  </si>
  <si>
    <t>=IF($X158=0,0,IF(SUM($Z153:$Z157)=0,$AB158,0))</t>
  </si>
  <si>
    <t>=B158</t>
  </si>
  <si>
    <t>=P158+1</t>
  </si>
  <si>
    <t>=IF($C$9=0,0,ROUND(NL("SUM","G/L Entry","Amount","G/L Account No.",$P159,"Fund No.",$F$22,"Company=",$D$6,"Transaction Type","ACTUAL","Global Dimension 1 Code",$V159,"Global Dimension 2 Code",$F$12,"Posting Date",$J$4),0))</t>
  </si>
  <si>
    <t>=IF($X159=0,0,IF(SUM($Z153:$Z158)=0,$AB159,0))</t>
  </si>
  <si>
    <t>=$AB158</t>
  </si>
  <si>
    <t>=B159</t>
  </si>
  <si>
    <t>=IF(SUM($Z153:$Z159)=0,$AB160,0)</t>
  </si>
  <si>
    <t>=$AB159</t>
  </si>
  <si>
    <t xml:space="preserve">Operations and </t>
  </si>
  <si>
    <t>( Revision-1 Update-1 )</t>
  </si>
  <si>
    <t xml:space="preserve">Maintenance for Approved </t>
  </si>
  <si>
    <t>Tentative Budget</t>
  </si>
  <si>
    <t>2014 Series Debt Service</t>
  </si>
  <si>
    <t>2015 Series Debt Service</t>
  </si>
  <si>
    <t>X</t>
  </si>
  <si>
    <t>J/K/L/O</t>
  </si>
  <si>
    <t>Reconciliation</t>
  </si>
  <si>
    <t>2014 Series 
Debt Service</t>
  </si>
  <si>
    <t>2015 Series 
Debt Service</t>
  </si>
  <si>
    <t>Tax Collector</t>
  </si>
  <si>
    <t>Direct Billed</t>
  </si>
  <si>
    <t>Parcel I/J/K/L/O Allocation</t>
  </si>
  <si>
    <t>Parcel A-2, H-2, F, and M Allocation</t>
  </si>
  <si>
    <t>Net On-Roll</t>
  </si>
  <si>
    <t>MADS Includes Office and GC per the Methodology Report</t>
  </si>
  <si>
    <t>Lot Total</t>
  </si>
  <si>
    <t>Grand</t>
  </si>
  <si>
    <t>As lots are added to tax roll, acreage must be proportionally deducted from 45.56 to ensure O&amp;M stays the same.</t>
  </si>
  <si>
    <t>Net Off-Roll</t>
  </si>
  <si>
    <t>Size</t>
  </si>
  <si>
    <t>Parcel J</t>
  </si>
  <si>
    <t>Parcel K</t>
  </si>
  <si>
    <t>Parcel L</t>
  </si>
  <si>
    <t>Parcel O</t>
  </si>
  <si>
    <t>Method used: Total acres divide by number of units</t>
  </si>
  <si>
    <t>Total acres allocated to these parcels</t>
  </si>
  <si>
    <t>Total units allocated to this parcel</t>
  </si>
  <si>
    <t>Total acreage per lot</t>
  </si>
  <si>
    <t>Nulled (Income not assured)</t>
  </si>
  <si>
    <t>Nulled (Devloper space agreement)</t>
  </si>
  <si>
    <t>Increased $30,00 (One additional person)</t>
  </si>
  <si>
    <t>Decreased $27087 (Plug Value for no assessment change)</t>
  </si>
  <si>
    <t>Increased from $276,000 (loans 1-to-4) to $365,000 (loans 5 &amp; 6)</t>
  </si>
  <si>
    <t>Decreased (No further expense in FY-2016)</t>
  </si>
  <si>
    <t>Decreased $10000 (Budgetary decision)</t>
  </si>
  <si>
    <t>Nulled (No planned purchases)</t>
  </si>
  <si>
    <t>Deleted (Funds merged into Sidewalks &amp; Alleyways)</t>
  </si>
  <si>
    <r>
      <rPr>
        <sz val="9"/>
        <rFont val="Arial"/>
        <family val="2"/>
      </rPr>
      <t>Reserves - Sidewalk</t>
    </r>
    <r>
      <rPr>
        <b/>
        <sz val="9"/>
        <color rgb="FFFF0000"/>
        <rFont val="Arial"/>
        <family val="2"/>
      </rPr>
      <t>s &amp; Alleyways</t>
    </r>
  </si>
  <si>
    <t>Combined &amp; Renamed</t>
  </si>
  <si>
    <t>2016-06/30 Budget Workshop Adjustments Resulted In No Assessment Changes</t>
  </si>
</sst>
</file>

<file path=xl/styles.xml><?xml version="1.0" encoding="utf-8"?>
<styleSheet xmlns="http://schemas.openxmlformats.org/spreadsheetml/2006/main">
  <numFmts count="31">
    <numFmt numFmtId="164" formatCode="_(* #,##0.00_);_(* \(#,##0.00\);_(* \-??_);_(@_)"/>
    <numFmt numFmtId="165" formatCode="_(\$* #,##0.00_);_(\$* \(#,##0.00\);_(\$* \-??_);_(@_)"/>
    <numFmt numFmtId="166" formatCode="_(* #,##0_);_(* \(#,##0\);_(* \-??_);_(@_)"/>
    <numFmt numFmtId="167" formatCode="m/d/yyyy"/>
    <numFmt numFmtId="168" formatCode="m/d/yyyy;@"/>
    <numFmt numFmtId="169" formatCode="mmmm\ d&quot;, &quot;yyyy;@"/>
    <numFmt numFmtId="170" formatCode="\$#,##0.00_);[Red]&quot;($&quot;#,##0.00\)"/>
    <numFmt numFmtId="171" formatCode="_(\$* #,##0_);_(\$* \(#,##0\);_(\$* \-??_);_(@_)"/>
    <numFmt numFmtId="172" formatCode="_(* #,##0.000_);_(* \(#,##0.000\);_(* \-??_);_(@_)"/>
    <numFmt numFmtId="173" formatCode="_(* #,##0.0000_);_(* \(#,##0.0000\);_(* \-??_);_(@_)"/>
    <numFmt numFmtId="174" formatCode="0.000000000000000%"/>
    <numFmt numFmtId="175" formatCode="mm/dd/yyyy"/>
    <numFmt numFmtId="176" formatCode="m/d/yyyy\ h:mm"/>
    <numFmt numFmtId="177" formatCode="_(\$* #,##0_);_(\$* \(#,##0\);_(\$* \-_);_(@_)"/>
    <numFmt numFmtId="178" formatCode="_(\$* #,##0_);[Red]_(\$* \(#,##0\);_(\$* \-_);_(@_)"/>
    <numFmt numFmtId="179" formatCode="_(* #,##0_);_(* \(#,##0\);_(* \-_);_(@_)"/>
    <numFmt numFmtId="180" formatCode="_(* #,##0_);[Red]_(* \(#,##0\);_(* \-_);_(@_)"/>
    <numFmt numFmtId="181" formatCode="_(* #,##0.00_);[Red]_(* \(#,##0.00\);_(* \-_);_(@_)"/>
    <numFmt numFmtId="182" formatCode="[Red]_(* #,##0.00_);[Blue]_(* \-#,##0.00_);_(* \-_);_(@_)"/>
    <numFmt numFmtId="183" formatCode="[Red]0.000%;[Blue]\-0.000%;\-_);@"/>
    <numFmt numFmtId="184" formatCode="mm/dd/yy;@"/>
    <numFmt numFmtId="185" formatCode="\$#,##0_);[Red]&quot;($&quot;#,##0\)"/>
    <numFmt numFmtId="186" formatCode="\$#,##0.00"/>
    <numFmt numFmtId="187" formatCode="0.000%"/>
    <numFmt numFmtId="188" formatCode="\$#,##0"/>
    <numFmt numFmtId="189" formatCode="\$#,##0.00_);&quot;($&quot;#,##0.00\)"/>
    <numFmt numFmtId="190" formatCode="\$#,##0_);&quot;($&quot;#,##0\)"/>
    <numFmt numFmtId="191" formatCode="#,##0;\(#,##0\);_(* \-??_);_(@_)"/>
    <numFmt numFmtId="192" formatCode="\$#,##0.00_);[Red]&quot;($&quot;#,##0.00\);\-??_);@_)"/>
    <numFmt numFmtId="193" formatCode="0.0%"/>
    <numFmt numFmtId="194" formatCode="0.0000"/>
  </numFmts>
  <fonts count="103">
    <font>
      <sz val="10"/>
      <name val="Arial"/>
      <family val="2"/>
    </font>
    <font>
      <sz val="11"/>
      <color indexed="8"/>
      <name val="Calibri"/>
      <family val="2"/>
    </font>
    <font>
      <sz val="10"/>
      <name val="Geneva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Geneva"/>
      <family val="2"/>
    </font>
    <font>
      <sz val="18"/>
      <color indexed="18"/>
      <name val="Arial Black"/>
      <family val="2"/>
    </font>
    <font>
      <b/>
      <u/>
      <sz val="12"/>
      <color indexed="18"/>
      <name val="Geneva"/>
      <family val="2"/>
    </font>
    <font>
      <sz val="10"/>
      <color indexed="10"/>
      <name val="Geneva"/>
      <family val="2"/>
    </font>
    <font>
      <sz val="14"/>
      <color indexed="18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indexed="58"/>
      <name val="Arial Unicode MS"/>
      <family val="2"/>
    </font>
    <font>
      <b/>
      <i/>
      <sz val="16"/>
      <color indexed="17"/>
      <name val="Arial"/>
      <family val="2"/>
    </font>
    <font>
      <i/>
      <sz val="10"/>
      <name val="Arial"/>
      <family val="2"/>
    </font>
    <font>
      <b/>
      <i/>
      <sz val="17"/>
      <color indexed="17"/>
      <name val="Arial"/>
      <family val="2"/>
    </font>
    <font>
      <b/>
      <sz val="13"/>
      <color indexed="17"/>
      <name val="Arial"/>
      <family val="2"/>
    </font>
    <font>
      <b/>
      <i/>
      <sz val="12"/>
      <color indexed="17"/>
      <name val="Arial Unicode MS"/>
      <family val="2"/>
    </font>
    <font>
      <sz val="10"/>
      <color indexed="17"/>
      <name val="Arial"/>
      <family val="2"/>
    </font>
    <font>
      <sz val="9"/>
      <color indexed="17"/>
      <name val="Arial Unicode MS"/>
      <family val="2"/>
    </font>
    <font>
      <sz val="10"/>
      <color indexed="17"/>
      <name val="Arial Unicode MS"/>
      <family val="2"/>
    </font>
    <font>
      <sz val="9"/>
      <color indexed="17"/>
      <name val="Arial Black"/>
      <family val="2"/>
    </font>
    <font>
      <sz val="10"/>
      <color indexed="17"/>
      <name val="Arial Black"/>
      <family val="2"/>
    </font>
    <font>
      <b/>
      <sz val="9"/>
      <color indexed="9"/>
      <name val="Arial"/>
      <family val="2"/>
    </font>
    <font>
      <sz val="8"/>
      <color indexed="8"/>
      <name val="Tahoma"/>
      <family val="2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17"/>
      <name val="Arial"/>
      <family val="2"/>
    </font>
    <font>
      <b/>
      <u/>
      <sz val="9"/>
      <color indexed="12"/>
      <name val="Arial"/>
      <family val="2"/>
    </font>
    <font>
      <b/>
      <sz val="9"/>
      <color indexed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9"/>
      <name val="Arial"/>
      <family val="2"/>
    </font>
    <font>
      <sz val="10"/>
      <name val="Arial Unicode MS"/>
      <family val="2"/>
    </font>
    <font>
      <sz val="14"/>
      <name val="Arial Unicode MS"/>
      <family val="2"/>
    </font>
    <font>
      <sz val="14"/>
      <color indexed="18"/>
      <name val="Arial Black"/>
      <family val="2"/>
    </font>
    <font>
      <sz val="12"/>
      <color indexed="18"/>
      <name val="Arial"/>
      <family val="2"/>
    </font>
    <font>
      <sz val="12"/>
      <name val="Arial Unicode MS"/>
      <family val="2"/>
    </font>
    <font>
      <b/>
      <sz val="14"/>
      <color indexed="17"/>
      <name val="Arial"/>
      <family val="2"/>
    </font>
    <font>
      <b/>
      <u/>
      <sz val="11"/>
      <name val="Arial Unicode MS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 Unicode MS"/>
      <family val="2"/>
    </font>
    <font>
      <sz val="11"/>
      <color indexed="8"/>
      <name val="Arial"/>
      <family val="2"/>
    </font>
    <font>
      <b/>
      <sz val="10"/>
      <color indexed="20"/>
      <name val="Arial"/>
      <family val="2"/>
    </font>
    <font>
      <sz val="12"/>
      <color indexed="8"/>
      <name val="Calibri"/>
      <family val="2"/>
    </font>
    <font>
      <b/>
      <i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9"/>
      <color indexed="10"/>
      <name val="Arial"/>
      <family val="2"/>
    </font>
    <font>
      <b/>
      <sz val="9"/>
      <color indexed="12"/>
      <name val="Arial"/>
      <family val="2"/>
    </font>
    <font>
      <sz val="9"/>
      <name val="Arial Unicode MS"/>
      <family val="2"/>
    </font>
    <font>
      <u/>
      <sz val="12"/>
      <name val="Arial Black"/>
      <family val="2"/>
    </font>
    <font>
      <b/>
      <sz val="10"/>
      <name val="Tahoma"/>
      <family val="2"/>
    </font>
    <font>
      <b/>
      <sz val="11"/>
      <name val="Calibri"/>
      <family val="2"/>
    </font>
    <font>
      <b/>
      <i/>
      <sz val="10"/>
      <name val="Georgia"/>
      <family val="1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9"/>
      <name val="Arial"/>
      <family val="2"/>
    </font>
    <font>
      <b/>
      <i/>
      <sz val="9"/>
      <name val="Georgia"/>
      <family val="1"/>
    </font>
    <font>
      <sz val="9"/>
      <name val="Microsoft Sans Serif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u/>
      <sz val="10"/>
      <name val="Arial Black"/>
      <family val="2"/>
    </font>
    <font>
      <u/>
      <sz val="10"/>
      <name val="Arial"/>
      <family val="2"/>
    </font>
    <font>
      <b/>
      <u/>
      <sz val="11"/>
      <name val="Arial"/>
      <family val="2"/>
    </font>
    <font>
      <b/>
      <sz val="11"/>
      <name val="Georgia"/>
      <family val="1"/>
    </font>
    <font>
      <sz val="11"/>
      <color indexed="17"/>
      <name val="Arial"/>
      <family val="2"/>
    </font>
    <font>
      <b/>
      <sz val="11"/>
      <color indexed="17"/>
      <name val="Georgia"/>
      <family val="1"/>
    </font>
    <font>
      <b/>
      <sz val="11"/>
      <color indexed="17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  <font>
      <b/>
      <sz val="10"/>
      <name val="Arial Unicode MS"/>
      <family val="2"/>
    </font>
    <font>
      <b/>
      <sz val="12"/>
      <name val="Arial Unicode MS"/>
      <family val="2"/>
    </font>
    <font>
      <b/>
      <sz val="9"/>
      <name val="Arial Unicode MS"/>
      <family val="2"/>
    </font>
    <font>
      <b/>
      <u/>
      <sz val="10"/>
      <name val="Arial Unicode MS"/>
      <family val="2"/>
    </font>
    <font>
      <i/>
      <sz val="10"/>
      <name val="Arial Unicode MS"/>
      <family val="2"/>
    </font>
    <font>
      <i/>
      <sz val="11"/>
      <name val="Calibri"/>
      <family val="2"/>
    </font>
    <font>
      <b/>
      <sz val="13"/>
      <name val="Arial"/>
      <family val="2"/>
    </font>
    <font>
      <sz val="13"/>
      <name val="Arial"/>
      <family val="2"/>
    </font>
    <font>
      <b/>
      <sz val="10"/>
      <name val="Georgia"/>
      <family val="1"/>
    </font>
    <font>
      <b/>
      <sz val="10"/>
      <color indexed="17"/>
      <name val="Georgia"/>
      <family val="1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B0F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7"/>
        <bgColor indexed="2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50"/>
        <b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indexed="46"/>
        <bgColor indexed="24"/>
      </patternFill>
    </fill>
    <fill>
      <patternFill patternType="solid">
        <fgColor indexed="52"/>
        <bgColor indexed="51"/>
      </patternFill>
    </fill>
    <fill>
      <patternFill patternType="solid">
        <fgColor indexed="14"/>
        <bgColor indexed="33"/>
      </patternFill>
    </fill>
    <fill>
      <patternFill patternType="solid">
        <fgColor indexed="49"/>
        <bgColor indexed="40"/>
      </patternFill>
    </fill>
    <fill>
      <patternFill patternType="solid">
        <fgColor indexed="22"/>
        <bgColor indexed="44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42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/>
      <diagonal/>
    </border>
    <border>
      <left style="dotted">
        <color indexed="8"/>
      </left>
      <right/>
      <top style="medium">
        <color indexed="8"/>
      </top>
      <bottom/>
      <diagonal/>
    </border>
    <border>
      <left style="dotted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 style="dotted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medium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medium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/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dotted">
        <color indexed="8"/>
      </right>
      <top/>
      <bottom style="dotted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32">
    <xf numFmtId="0" fontId="0" fillId="0" borderId="0"/>
    <xf numFmtId="164" fontId="98" fillId="0" borderId="0" applyFill="0" applyBorder="0" applyAlignment="0" applyProtection="0"/>
    <xf numFmtId="165" fontId="98" fillId="0" borderId="0" applyFill="0" applyBorder="0" applyAlignment="0" applyProtection="0"/>
    <xf numFmtId="9" fontId="98" fillId="0" borderId="0" applyFill="0" applyBorder="0" applyAlignment="0" applyProtection="0"/>
    <xf numFmtId="164" fontId="98" fillId="0" borderId="0" applyFill="0" applyBorder="0" applyAlignment="0" applyProtection="0"/>
    <xf numFmtId="164" fontId="98" fillId="0" borderId="0" applyFill="0" applyBorder="0" applyAlignment="0" applyProtection="0"/>
    <xf numFmtId="164" fontId="98" fillId="0" borderId="0" applyFill="0" applyBorder="0" applyAlignment="0" applyProtection="0"/>
    <xf numFmtId="164" fontId="98" fillId="0" borderId="0" applyFill="0" applyBorder="0" applyAlignment="0" applyProtection="0"/>
    <xf numFmtId="164" fontId="98" fillId="0" borderId="0" applyFill="0" applyBorder="0" applyAlignment="0" applyProtection="0"/>
    <xf numFmtId="164" fontId="98" fillId="0" borderId="0" applyFill="0" applyBorder="0" applyAlignment="0" applyProtection="0"/>
    <xf numFmtId="164" fontId="98" fillId="0" borderId="0" applyFill="0" applyBorder="0" applyAlignment="0" applyProtection="0"/>
    <xf numFmtId="165" fontId="98" fillId="0" borderId="0" applyFill="0" applyBorder="0" applyAlignment="0" applyProtection="0"/>
    <xf numFmtId="165" fontId="98" fillId="0" borderId="0" applyFill="0" applyBorder="0" applyAlignment="0" applyProtection="0"/>
    <xf numFmtId="165" fontId="98" fillId="0" borderId="0" applyFill="0" applyBorder="0" applyAlignment="0" applyProtection="0"/>
    <xf numFmtId="165" fontId="98" fillId="0" borderId="0" applyFill="0" applyBorder="0" applyAlignment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98" fillId="0" borderId="0"/>
    <xf numFmtId="9" fontId="98" fillId="0" borderId="0" applyFill="0" applyBorder="0" applyAlignment="0" applyProtection="0"/>
    <xf numFmtId="9" fontId="98" fillId="0" borderId="0" applyFill="0" applyBorder="0" applyAlignment="0" applyProtection="0"/>
    <xf numFmtId="9" fontId="98" fillId="0" borderId="0" applyFill="0" applyBorder="0" applyAlignment="0" applyProtection="0"/>
  </cellStyleXfs>
  <cellXfs count="1470">
    <xf numFmtId="0" fontId="0" fillId="0" borderId="0" xfId="0"/>
    <xf numFmtId="0" fontId="3" fillId="0" borderId="0" xfId="17" applyFont="1"/>
    <xf numFmtId="166" fontId="3" fillId="0" borderId="0" xfId="1" applyNumberFormat="1" applyFont="1" applyFill="1" applyBorder="1" applyAlignment="1" applyProtection="1"/>
    <xf numFmtId="167" fontId="3" fillId="0" borderId="0" xfId="17" applyNumberFormat="1" applyFont="1"/>
    <xf numFmtId="0" fontId="3" fillId="0" borderId="0" xfId="17" applyFont="1" applyFill="1" applyBorder="1" applyAlignment="1" applyProtection="1">
      <alignment horizontal="left" indent="1"/>
      <protection locked="0"/>
    </xf>
    <xf numFmtId="0" fontId="2" fillId="0" borderId="0" xfId="27"/>
    <xf numFmtId="0" fontId="2" fillId="0" borderId="0" xfId="27" applyFont="1"/>
    <xf numFmtId="0" fontId="5" fillId="0" borderId="0" xfId="27" applyNumberFormat="1" applyFont="1" applyFill="1"/>
    <xf numFmtId="0" fontId="7" fillId="0" borderId="0" xfId="27" applyFont="1"/>
    <xf numFmtId="0" fontId="8" fillId="0" borderId="0" xfId="27" applyFont="1"/>
    <xf numFmtId="0" fontId="11" fillId="3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3" fillId="0" borderId="0" xfId="27" applyFont="1" applyFill="1"/>
    <xf numFmtId="0" fontId="0" fillId="3" borderId="5" xfId="0" applyFill="1" applyBorder="1" applyAlignment="1"/>
    <xf numFmtId="0" fontId="2" fillId="3" borderId="7" xfId="27" applyFill="1" applyBorder="1"/>
    <xf numFmtId="0" fontId="15" fillId="3" borderId="5" xfId="0" applyFont="1" applyFill="1" applyBorder="1"/>
    <xf numFmtId="0" fontId="16" fillId="0" borderId="0" xfId="27" applyFont="1" applyFill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2" fillId="3" borderId="9" xfId="27" applyFill="1" applyBorder="1"/>
    <xf numFmtId="0" fontId="21" fillId="0" borderId="0" xfId="27" applyFont="1"/>
    <xf numFmtId="0" fontId="22" fillId="0" borderId="0" xfId="27" applyFont="1" applyAlignment="1"/>
    <xf numFmtId="0" fontId="23" fillId="0" borderId="0" xfId="27" applyFont="1" applyAlignment="1"/>
    <xf numFmtId="0" fontId="0" fillId="0" borderId="0" xfId="27" applyFont="1"/>
    <xf numFmtId="0" fontId="0" fillId="3" borderId="4" xfId="27" applyFont="1" applyFill="1" applyBorder="1" applyAlignment="1">
      <alignment horizontal="center"/>
    </xf>
    <xf numFmtId="0" fontId="4" fillId="0" borderId="10" xfId="27" applyFont="1" applyBorder="1" applyAlignment="1">
      <alignment horizontal="center"/>
    </xf>
    <xf numFmtId="0" fontId="4" fillId="0" borderId="11" xfId="27" applyFont="1" applyBorder="1" applyAlignment="1">
      <alignment horizontal="center"/>
    </xf>
    <xf numFmtId="9" fontId="0" fillId="0" borderId="12" xfId="27" applyNumberFormat="1" applyFont="1" applyBorder="1" applyAlignment="1">
      <alignment horizontal="center"/>
    </xf>
    <xf numFmtId="0" fontId="0" fillId="0" borderId="13" xfId="27" applyFont="1" applyBorder="1" applyAlignment="1">
      <alignment horizontal="center"/>
    </xf>
    <xf numFmtId="9" fontId="0" fillId="0" borderId="14" xfId="27" applyNumberFormat="1" applyFont="1" applyBorder="1" applyAlignment="1">
      <alignment horizontal="center"/>
    </xf>
    <xf numFmtId="0" fontId="0" fillId="0" borderId="15" xfId="27" applyFont="1" applyBorder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168" fontId="37" fillId="0" borderId="0" xfId="0" applyNumberFormat="1" applyFont="1" applyAlignment="1">
      <alignment horizontal="left"/>
    </xf>
    <xf numFmtId="0" fontId="37" fillId="0" borderId="0" xfId="0" applyFont="1" applyAlignment="1">
      <alignment horizontal="right"/>
    </xf>
    <xf numFmtId="167" fontId="37" fillId="0" borderId="0" xfId="0" applyNumberFormat="1" applyFont="1" applyAlignment="1">
      <alignment horizontal="left"/>
    </xf>
    <xf numFmtId="0" fontId="37" fillId="0" borderId="0" xfId="0" applyNumberFormat="1" applyFont="1" applyAlignment="1">
      <alignment horizontal="left"/>
    </xf>
    <xf numFmtId="169" fontId="38" fillId="0" borderId="0" xfId="0" applyNumberFormat="1" applyFont="1" applyAlignment="1">
      <alignment horizontal="center" vertical="center"/>
    </xf>
    <xf numFmtId="49" fontId="37" fillId="0" borderId="0" xfId="0" applyNumberFormat="1" applyFont="1"/>
    <xf numFmtId="0" fontId="37" fillId="0" borderId="16" xfId="0" applyFont="1" applyBorder="1" applyAlignment="1">
      <alignment horizontal="center"/>
    </xf>
    <xf numFmtId="0" fontId="37" fillId="3" borderId="0" xfId="0" applyFont="1" applyFill="1" applyAlignment="1">
      <alignment horizontal="center"/>
    </xf>
    <xf numFmtId="164" fontId="37" fillId="3" borderId="0" xfId="1" applyFont="1" applyFill="1" applyBorder="1" applyAlignment="1" applyProtection="1"/>
    <xf numFmtId="0" fontId="37" fillId="5" borderId="0" xfId="0" applyFont="1" applyFill="1" applyAlignment="1">
      <alignment horizontal="center"/>
    </xf>
    <xf numFmtId="0" fontId="37" fillId="5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5" borderId="0" xfId="0" applyFont="1" applyFill="1"/>
    <xf numFmtId="0" fontId="3" fillId="0" borderId="0" xfId="0" applyFont="1"/>
    <xf numFmtId="0" fontId="3" fillId="6" borderId="0" xfId="0" applyFont="1" applyFill="1"/>
    <xf numFmtId="0" fontId="3" fillId="6" borderId="16" xfId="0" applyFont="1" applyFill="1" applyBorder="1" applyAlignment="1">
      <alignment horizontal="center"/>
    </xf>
    <xf numFmtId="0" fontId="0" fillId="0" borderId="0" xfId="0" applyFont="1"/>
    <xf numFmtId="49" fontId="3" fillId="6" borderId="0" xfId="0" applyNumberFormat="1" applyFont="1" applyFill="1" applyAlignment="1">
      <alignment horizontal="center"/>
    </xf>
    <xf numFmtId="0" fontId="0" fillId="6" borderId="0" xfId="0" applyFont="1" applyFill="1"/>
    <xf numFmtId="0" fontId="3" fillId="6" borderId="0" xfId="0" applyFont="1" applyFill="1" applyAlignment="1">
      <alignment horizontal="left" indent="2"/>
    </xf>
    <xf numFmtId="0" fontId="3" fillId="6" borderId="0" xfId="0" applyFont="1" applyFill="1" applyAlignment="1">
      <alignment horizontal="right"/>
    </xf>
    <xf numFmtId="0" fontId="39" fillId="6" borderId="0" xfId="0" applyFont="1" applyFill="1"/>
    <xf numFmtId="0" fontId="3" fillId="6" borderId="0" xfId="0" applyFont="1" applyFill="1" applyAlignment="1">
      <alignment horizontal="left"/>
    </xf>
    <xf numFmtId="49" fontId="3" fillId="6" borderId="0" xfId="0" applyNumberFormat="1" applyFont="1" applyFill="1" applyAlignment="1">
      <alignment horizontal="left" indent="2"/>
    </xf>
    <xf numFmtId="0" fontId="40" fillId="0" borderId="0" xfId="0" applyFont="1"/>
    <xf numFmtId="0" fontId="41" fillId="0" borderId="0" xfId="0" applyFont="1"/>
    <xf numFmtId="0" fontId="44" fillId="0" borderId="0" xfId="0" applyFont="1"/>
    <xf numFmtId="0" fontId="46" fillId="0" borderId="0" xfId="0" applyFont="1" applyAlignment="1">
      <alignment horizontal="left" indent="2"/>
    </xf>
    <xf numFmtId="0" fontId="0" fillId="0" borderId="0" xfId="17" applyFont="1" applyFill="1"/>
    <xf numFmtId="165" fontId="0" fillId="0" borderId="0" xfId="2" applyFont="1" applyFill="1" applyBorder="1" applyAlignment="1" applyProtection="1"/>
    <xf numFmtId="0" fontId="0" fillId="0" borderId="0" xfId="17" applyFont="1" applyFill="1" applyAlignment="1">
      <alignment horizontal="center"/>
    </xf>
    <xf numFmtId="10" fontId="0" fillId="0" borderId="0" xfId="17" applyNumberFormat="1" applyFont="1" applyFill="1" applyAlignment="1">
      <alignment horizontal="center" vertical="center"/>
    </xf>
    <xf numFmtId="166" fontId="0" fillId="0" borderId="0" xfId="1" applyNumberFormat="1" applyFont="1" applyFill="1" applyBorder="1" applyAlignment="1" applyProtection="1"/>
    <xf numFmtId="170" fontId="0" fillId="0" borderId="0" xfId="17" applyNumberFormat="1" applyFont="1" applyFill="1"/>
    <xf numFmtId="0" fontId="4" fillId="0" borderId="0" xfId="17" applyFont="1" applyFill="1" applyBorder="1" applyAlignment="1">
      <alignment horizontal="center"/>
    </xf>
    <xf numFmtId="170" fontId="0" fillId="0" borderId="0" xfId="17" applyNumberFormat="1" applyFont="1" applyFill="1" applyBorder="1"/>
    <xf numFmtId="0" fontId="0" fillId="0" borderId="0" xfId="17" applyFont="1" applyFill="1" applyBorder="1"/>
    <xf numFmtId="170" fontId="0" fillId="0" borderId="0" xfId="17" applyNumberFormat="1" applyFont="1" applyFill="1" applyBorder="1" applyAlignment="1"/>
    <xf numFmtId="9" fontId="0" fillId="0" borderId="0" xfId="3" applyFont="1" applyFill="1" applyBorder="1" applyAlignment="1" applyProtection="1"/>
    <xf numFmtId="0" fontId="4" fillId="0" borderId="0" xfId="17" applyFont="1" applyFill="1" applyBorder="1"/>
    <xf numFmtId="165" fontId="0" fillId="0" borderId="0" xfId="17" applyNumberFormat="1" applyFont="1" applyFill="1"/>
    <xf numFmtId="171" fontId="4" fillId="0" borderId="0" xfId="2" applyNumberFormat="1" applyFont="1" applyFill="1" applyBorder="1" applyAlignment="1" applyProtection="1"/>
    <xf numFmtId="0" fontId="0" fillId="0" borderId="0" xfId="17" applyFont="1" applyFill="1" applyAlignment="1">
      <alignment horizontal="center" vertical="center"/>
    </xf>
    <xf numFmtId="0" fontId="49" fillId="0" borderId="0" xfId="17" applyFont="1" applyFill="1" applyBorder="1" applyAlignment="1">
      <alignment vertical="center"/>
    </xf>
    <xf numFmtId="166" fontId="49" fillId="0" borderId="0" xfId="1" applyNumberFormat="1" applyFont="1" applyFill="1" applyBorder="1" applyAlignment="1" applyProtection="1">
      <alignment vertical="center"/>
    </xf>
    <xf numFmtId="0" fontId="49" fillId="0" borderId="0" xfId="17" applyFont="1" applyFill="1" applyAlignment="1">
      <alignment vertical="center"/>
    </xf>
    <xf numFmtId="0" fontId="47" fillId="0" borderId="0" xfId="17" applyFont="1" applyFill="1" applyBorder="1" applyAlignment="1">
      <alignment vertical="center"/>
    </xf>
    <xf numFmtId="165" fontId="47" fillId="5" borderId="4" xfId="2" applyFont="1" applyFill="1" applyBorder="1" applyAlignment="1" applyProtection="1">
      <alignment horizontal="center" vertical="center"/>
    </xf>
    <xf numFmtId="170" fontId="47" fillId="0" borderId="0" xfId="17" applyNumberFormat="1" applyFont="1" applyFill="1" applyBorder="1" applyAlignment="1">
      <alignment horizontal="center" vertical="center"/>
    </xf>
    <xf numFmtId="171" fontId="47" fillId="0" borderId="17" xfId="2" applyNumberFormat="1" applyFont="1" applyFill="1" applyBorder="1" applyAlignment="1" applyProtection="1">
      <alignment horizontal="left" vertical="center"/>
    </xf>
    <xf numFmtId="171" fontId="47" fillId="0" borderId="18" xfId="2" applyNumberFormat="1" applyFont="1" applyFill="1" applyBorder="1" applyAlignment="1" applyProtection="1">
      <alignment horizontal="left" vertical="center"/>
    </xf>
    <xf numFmtId="165" fontId="49" fillId="0" borderId="18" xfId="2" applyFont="1" applyFill="1" applyBorder="1" applyAlignment="1" applyProtection="1">
      <alignment horizontal="center" vertical="center"/>
    </xf>
    <xf numFmtId="0" fontId="49" fillId="0" borderId="18" xfId="17" applyFont="1" applyFill="1" applyBorder="1" applyAlignment="1">
      <alignment horizontal="center" vertical="center"/>
    </xf>
    <xf numFmtId="0" fontId="49" fillId="0" borderId="18" xfId="17" applyFont="1" applyFill="1" applyBorder="1" applyAlignment="1">
      <alignment vertical="center"/>
    </xf>
    <xf numFmtId="0" fontId="49" fillId="0" borderId="1" xfId="17" applyFont="1" applyFill="1" applyBorder="1" applyAlignment="1">
      <alignment vertical="center"/>
    </xf>
    <xf numFmtId="0" fontId="12" fillId="0" borderId="0" xfId="17" applyFont="1" applyFill="1" applyBorder="1" applyAlignment="1">
      <alignment horizontal="center"/>
    </xf>
    <xf numFmtId="166" fontId="12" fillId="0" borderId="0" xfId="1" applyNumberFormat="1" applyFont="1" applyFill="1" applyBorder="1" applyAlignment="1" applyProtection="1">
      <alignment horizontal="center"/>
    </xf>
    <xf numFmtId="0" fontId="50" fillId="0" borderId="0" xfId="17" applyFont="1" applyFill="1"/>
    <xf numFmtId="172" fontId="12" fillId="0" borderId="0" xfId="1" applyNumberFormat="1" applyFont="1" applyFill="1" applyBorder="1" applyAlignment="1" applyProtection="1">
      <alignment horizontal="center"/>
    </xf>
    <xf numFmtId="166" fontId="12" fillId="0" borderId="0" xfId="1" applyNumberFormat="1" applyFont="1" applyFill="1" applyBorder="1" applyAlignment="1" applyProtection="1"/>
    <xf numFmtId="166" fontId="50" fillId="0" borderId="0" xfId="1" applyNumberFormat="1" applyFont="1" applyFill="1" applyBorder="1" applyAlignment="1" applyProtection="1">
      <alignment horizontal="center"/>
    </xf>
    <xf numFmtId="0" fontId="12" fillId="0" borderId="0" xfId="17" applyFont="1" applyFill="1"/>
    <xf numFmtId="0" fontId="50" fillId="0" borderId="0" xfId="17" applyFont="1" applyFill="1" applyBorder="1"/>
    <xf numFmtId="165" fontId="51" fillId="0" borderId="0" xfId="2" applyFont="1" applyFill="1" applyBorder="1" applyAlignment="1" applyProtection="1"/>
    <xf numFmtId="0" fontId="50" fillId="0" borderId="0" xfId="17" applyFont="1" applyFill="1" applyBorder="1" applyAlignment="1">
      <alignment horizontal="center"/>
    </xf>
    <xf numFmtId="171" fontId="50" fillId="0" borderId="17" xfId="2" applyNumberFormat="1" applyFont="1" applyFill="1" applyBorder="1" applyAlignment="1" applyProtection="1">
      <alignment horizontal="center"/>
    </xf>
    <xf numFmtId="171" fontId="50" fillId="0" borderId="18" xfId="2" applyNumberFormat="1" applyFont="1" applyFill="1" applyBorder="1" applyAlignment="1" applyProtection="1">
      <alignment horizontal="center"/>
    </xf>
    <xf numFmtId="165" fontId="12" fillId="0" borderId="18" xfId="2" applyFont="1" applyFill="1" applyBorder="1" applyAlignment="1" applyProtection="1">
      <alignment horizontal="center"/>
    </xf>
    <xf numFmtId="0" fontId="12" fillId="0" borderId="18" xfId="17" applyFont="1" applyFill="1" applyBorder="1" applyAlignment="1">
      <alignment horizontal="center"/>
    </xf>
    <xf numFmtId="0" fontId="50" fillId="0" borderId="21" xfId="17" applyFont="1" applyFill="1" applyBorder="1" applyAlignment="1">
      <alignment horizontal="center"/>
    </xf>
    <xf numFmtId="0" fontId="50" fillId="0" borderId="22" xfId="17" applyFont="1" applyFill="1" applyBorder="1" applyAlignment="1">
      <alignment horizontal="center"/>
    </xf>
    <xf numFmtId="10" fontId="50" fillId="0" borderId="23" xfId="3" applyNumberFormat="1" applyFont="1" applyFill="1" applyBorder="1" applyAlignment="1" applyProtection="1">
      <alignment horizontal="center" vertical="center"/>
    </xf>
    <xf numFmtId="10" fontId="50" fillId="0" borderId="23" xfId="3" applyNumberFormat="1" applyFont="1" applyFill="1" applyBorder="1" applyAlignment="1" applyProtection="1">
      <alignment horizontal="center"/>
    </xf>
    <xf numFmtId="0" fontId="12" fillId="0" borderId="24" xfId="17" applyFont="1" applyFill="1" applyBorder="1"/>
    <xf numFmtId="0" fontId="12" fillId="0" borderId="25" xfId="17" applyFont="1" applyFill="1" applyBorder="1"/>
    <xf numFmtId="0" fontId="50" fillId="0" borderId="0" xfId="17" applyFont="1" applyFill="1" applyAlignment="1">
      <alignment horizontal="center"/>
    </xf>
    <xf numFmtId="165" fontId="50" fillId="0" borderId="0" xfId="2" applyFont="1" applyFill="1" applyBorder="1" applyAlignment="1" applyProtection="1">
      <alignment horizontal="center"/>
    </xf>
    <xf numFmtId="0" fontId="50" fillId="0" borderId="26" xfId="17" applyFont="1" applyFill="1" applyBorder="1" applyAlignment="1">
      <alignment horizontal="left" vertical="center"/>
    </xf>
    <xf numFmtId="0" fontId="50" fillId="0" borderId="27" xfId="17" applyFont="1" applyFill="1" applyBorder="1" applyAlignment="1">
      <alignment horizontal="center" vertical="center"/>
    </xf>
    <xf numFmtId="165" fontId="50" fillId="0" borderId="27" xfId="2" applyFont="1" applyFill="1" applyBorder="1" applyAlignment="1" applyProtection="1">
      <alignment horizontal="center" vertical="center"/>
    </xf>
    <xf numFmtId="0" fontId="50" fillId="0" borderId="28" xfId="17" applyFont="1" applyFill="1" applyBorder="1" applyAlignment="1">
      <alignment horizontal="center" vertical="center" wrapText="1"/>
    </xf>
    <xf numFmtId="0" fontId="50" fillId="0" borderId="29" xfId="17" applyFont="1" applyFill="1" applyBorder="1" applyAlignment="1">
      <alignment horizontal="center" vertical="center" wrapText="1"/>
    </xf>
    <xf numFmtId="10" fontId="50" fillId="0" borderId="30" xfId="17" applyNumberFormat="1" applyFont="1" applyFill="1" applyBorder="1" applyAlignment="1">
      <alignment horizontal="center" vertical="center" wrapText="1"/>
    </xf>
    <xf numFmtId="10" fontId="50" fillId="0" borderId="30" xfId="17" applyNumberFormat="1" applyFont="1" applyFill="1" applyBorder="1" applyAlignment="1">
      <alignment horizontal="center" vertical="center"/>
    </xf>
    <xf numFmtId="0" fontId="50" fillId="0" borderId="26" xfId="17" applyFont="1" applyFill="1" applyBorder="1" applyAlignment="1">
      <alignment horizontal="center" vertical="center"/>
    </xf>
    <xf numFmtId="0" fontId="50" fillId="0" borderId="31" xfId="17" applyFont="1" applyFill="1" applyBorder="1" applyAlignment="1">
      <alignment horizontal="center" vertical="center"/>
    </xf>
    <xf numFmtId="0" fontId="50" fillId="0" borderId="16" xfId="17" applyFont="1" applyFill="1" applyBorder="1" applyAlignment="1">
      <alignment horizontal="center" vertical="center"/>
    </xf>
    <xf numFmtId="166" fontId="50" fillId="0" borderId="16" xfId="1" applyNumberFormat="1" applyFont="1" applyFill="1" applyBorder="1" applyAlignment="1" applyProtection="1">
      <alignment horizontal="center" vertical="center"/>
    </xf>
    <xf numFmtId="170" fontId="50" fillId="0" borderId="16" xfId="17" applyNumberFormat="1" applyFont="1" applyFill="1" applyBorder="1" applyAlignment="1">
      <alignment horizontal="center" vertical="center"/>
    </xf>
    <xf numFmtId="0" fontId="50" fillId="0" borderId="0" xfId="17" applyFont="1" applyFill="1" applyBorder="1" applyAlignment="1">
      <alignment horizontal="center" vertical="center"/>
    </xf>
    <xf numFmtId="0" fontId="12" fillId="0" borderId="0" xfId="17" applyFont="1" applyFill="1" applyAlignment="1">
      <alignment vertical="center"/>
    </xf>
    <xf numFmtId="0" fontId="12" fillId="0" borderId="0" xfId="17" applyFont="1" applyFill="1" applyAlignment="1">
      <alignment horizontal="center" vertical="center"/>
    </xf>
    <xf numFmtId="0" fontId="50" fillId="0" borderId="24" xfId="17" applyFont="1" applyFill="1" applyBorder="1" applyAlignment="1">
      <alignment horizontal="left" vertical="center"/>
    </xf>
    <xf numFmtId="165" fontId="50" fillId="0" borderId="0" xfId="2" applyFont="1" applyFill="1" applyBorder="1" applyAlignment="1" applyProtection="1">
      <alignment horizontal="center" vertical="center"/>
    </xf>
    <xf numFmtId="0" fontId="50" fillId="0" borderId="32" xfId="17" applyFont="1" applyFill="1" applyBorder="1" applyAlignment="1">
      <alignment horizontal="center" vertical="center"/>
    </xf>
    <xf numFmtId="0" fontId="50" fillId="0" borderId="33" xfId="17" applyFont="1" applyFill="1" applyBorder="1" applyAlignment="1">
      <alignment horizontal="center" vertical="center"/>
    </xf>
    <xf numFmtId="10" fontId="50" fillId="0" borderId="34" xfId="17" applyNumberFormat="1" applyFont="1" applyFill="1" applyBorder="1" applyAlignment="1">
      <alignment horizontal="center" vertical="center"/>
    </xf>
    <xf numFmtId="0" fontId="50" fillId="0" borderId="24" xfId="17" applyFont="1" applyFill="1" applyBorder="1" applyAlignment="1">
      <alignment horizontal="center" vertical="center"/>
    </xf>
    <xf numFmtId="0" fontId="50" fillId="0" borderId="25" xfId="17" applyFont="1" applyFill="1" applyBorder="1" applyAlignment="1">
      <alignment horizontal="center" vertical="center"/>
    </xf>
    <xf numFmtId="0" fontId="12" fillId="0" borderId="17" xfId="17" applyFont="1" applyFill="1" applyBorder="1"/>
    <xf numFmtId="0" fontId="12" fillId="0" borderId="18" xfId="17" applyFont="1" applyFill="1" applyBorder="1"/>
    <xf numFmtId="165" fontId="12" fillId="0" borderId="18" xfId="2" applyFont="1" applyFill="1" applyBorder="1" applyAlignment="1" applyProtection="1"/>
    <xf numFmtId="0" fontId="12" fillId="0" borderId="21" xfId="17" applyFont="1" applyFill="1" applyBorder="1"/>
    <xf numFmtId="0" fontId="12" fillId="0" borderId="22" xfId="17" applyFont="1" applyFill="1" applyBorder="1"/>
    <xf numFmtId="0" fontId="12" fillId="0" borderId="23" xfId="17" applyFont="1" applyFill="1" applyBorder="1" applyAlignment="1">
      <alignment horizontal="center" vertical="center"/>
    </xf>
    <xf numFmtId="0" fontId="12" fillId="0" borderId="23" xfId="17" applyFont="1" applyFill="1" applyBorder="1"/>
    <xf numFmtId="0" fontId="12" fillId="0" borderId="1" xfId="17" applyFont="1" applyFill="1" applyBorder="1"/>
    <xf numFmtId="0" fontId="12" fillId="0" borderId="0" xfId="17" applyFont="1" applyFill="1" applyBorder="1"/>
    <xf numFmtId="170" fontId="12" fillId="0" borderId="0" xfId="17" applyNumberFormat="1" applyFont="1" applyFill="1"/>
    <xf numFmtId="0" fontId="12" fillId="0" borderId="35" xfId="17" applyFont="1" applyFill="1" applyBorder="1"/>
    <xf numFmtId="165" fontId="12" fillId="0" borderId="0" xfId="2" applyFont="1" applyFill="1" applyBorder="1" applyAlignment="1" applyProtection="1">
      <alignment horizontal="center"/>
    </xf>
    <xf numFmtId="0" fontId="12" fillId="0" borderId="0" xfId="17" applyFont="1" applyFill="1" applyAlignment="1">
      <alignment horizontal="center"/>
    </xf>
    <xf numFmtId="164" fontId="50" fillId="0" borderId="24" xfId="1" applyFont="1" applyFill="1" applyBorder="1" applyAlignment="1" applyProtection="1">
      <alignment horizontal="center" vertical="center"/>
    </xf>
    <xf numFmtId="0" fontId="52" fillId="0" borderId="0" xfId="25" applyFont="1" applyBorder="1" applyAlignment="1">
      <alignment horizontal="center" vertical="center"/>
    </xf>
    <xf numFmtId="165" fontId="12" fillId="0" borderId="32" xfId="2" applyNumberFormat="1" applyFont="1" applyFill="1" applyBorder="1" applyAlignment="1" applyProtection="1">
      <alignment vertical="center"/>
    </xf>
    <xf numFmtId="165" fontId="12" fillId="0" borderId="33" xfId="2" applyNumberFormat="1" applyFont="1" applyFill="1" applyBorder="1" applyAlignment="1" applyProtection="1">
      <alignment vertical="center"/>
    </xf>
    <xf numFmtId="10" fontId="12" fillId="0" borderId="34" xfId="3" applyNumberFormat="1" applyFont="1" applyFill="1" applyBorder="1" applyAlignment="1" applyProtection="1">
      <alignment horizontal="center" vertical="center"/>
    </xf>
    <xf numFmtId="0" fontId="12" fillId="0" borderId="24" xfId="17" applyFont="1" applyFill="1" applyBorder="1" applyAlignment="1">
      <alignment horizontal="center" vertical="center"/>
    </xf>
    <xf numFmtId="0" fontId="12" fillId="0" borderId="25" xfId="17" applyFont="1" applyFill="1" applyBorder="1" applyAlignment="1">
      <alignment vertical="center"/>
    </xf>
    <xf numFmtId="10" fontId="50" fillId="0" borderId="0" xfId="3" applyNumberFormat="1" applyFont="1" applyFill="1" applyBorder="1" applyAlignment="1" applyProtection="1">
      <alignment horizontal="center"/>
    </xf>
    <xf numFmtId="173" fontId="12" fillId="0" borderId="0" xfId="1" applyNumberFormat="1" applyFont="1" applyFill="1" applyBorder="1" applyAlignment="1" applyProtection="1"/>
    <xf numFmtId="166" fontId="53" fillId="0" borderId="0" xfId="7" applyNumberFormat="1" applyFont="1" applyFill="1" applyBorder="1" applyAlignment="1" applyProtection="1"/>
    <xf numFmtId="164" fontId="50" fillId="0" borderId="0" xfId="1" applyFont="1" applyFill="1" applyBorder="1" applyAlignment="1" applyProtection="1">
      <alignment horizontal="center"/>
    </xf>
    <xf numFmtId="170" fontId="50" fillId="0" borderId="0" xfId="17" applyNumberFormat="1" applyFont="1" applyFill="1"/>
    <xf numFmtId="164" fontId="50" fillId="0" borderId="0" xfId="17" applyNumberFormat="1" applyFont="1" applyFill="1" applyAlignment="1"/>
    <xf numFmtId="164" fontId="12" fillId="0" borderId="0" xfId="17" applyNumberFormat="1" applyFont="1" applyFill="1"/>
    <xf numFmtId="165" fontId="12" fillId="0" borderId="0" xfId="2" applyFont="1" applyFill="1" applyBorder="1" applyAlignment="1" applyProtection="1"/>
    <xf numFmtId="166" fontId="12" fillId="0" borderId="0" xfId="17" applyNumberFormat="1" applyFont="1" applyFill="1"/>
    <xf numFmtId="0" fontId="52" fillId="0" borderId="0" xfId="25" applyFont="1" applyFill="1" applyBorder="1" applyAlignment="1">
      <alignment horizontal="center" vertical="center"/>
    </xf>
    <xf numFmtId="164" fontId="50" fillId="0" borderId="26" xfId="1" applyFont="1" applyFill="1" applyBorder="1" applyAlignment="1" applyProtection="1">
      <alignment horizontal="center" vertical="center"/>
    </xf>
    <xf numFmtId="0" fontId="52" fillId="0" borderId="27" xfId="25" applyFont="1" applyFill="1" applyBorder="1" applyAlignment="1">
      <alignment horizontal="center" vertical="center"/>
    </xf>
    <xf numFmtId="165" fontId="12" fillId="0" borderId="28" xfId="2" applyNumberFormat="1" applyFont="1" applyFill="1" applyBorder="1" applyAlignment="1" applyProtection="1">
      <alignment vertical="center"/>
    </xf>
    <xf numFmtId="165" fontId="12" fillId="0" borderId="29" xfId="2" applyNumberFormat="1" applyFont="1" applyFill="1" applyBorder="1" applyAlignment="1" applyProtection="1">
      <alignment vertical="center"/>
    </xf>
    <xf numFmtId="10" fontId="12" fillId="0" borderId="30" xfId="3" applyNumberFormat="1" applyFont="1" applyFill="1" applyBorder="1" applyAlignment="1" applyProtection="1">
      <alignment horizontal="center" vertical="center"/>
    </xf>
    <xf numFmtId="0" fontId="12" fillId="0" borderId="26" xfId="17" applyFont="1" applyFill="1" applyBorder="1" applyAlignment="1">
      <alignment horizontal="center" vertical="center"/>
    </xf>
    <xf numFmtId="0" fontId="12" fillId="0" borderId="31" xfId="17" applyFont="1" applyFill="1" applyBorder="1" applyAlignment="1">
      <alignment vertical="center"/>
    </xf>
    <xf numFmtId="10" fontId="12" fillId="0" borderId="0" xfId="3" applyNumberFormat="1" applyFont="1" applyFill="1" applyBorder="1" applyAlignment="1" applyProtection="1">
      <alignment horizontal="center"/>
    </xf>
    <xf numFmtId="170" fontId="12" fillId="0" borderId="0" xfId="17" applyNumberFormat="1" applyFont="1" applyFill="1" applyBorder="1"/>
    <xf numFmtId="165" fontId="12" fillId="0" borderId="16" xfId="2" applyFont="1" applyFill="1" applyBorder="1" applyAlignment="1" applyProtection="1"/>
    <xf numFmtId="0" fontId="12" fillId="0" borderId="16" xfId="17" applyFont="1" applyFill="1" applyBorder="1"/>
    <xf numFmtId="166" fontId="12" fillId="0" borderId="16" xfId="17" applyNumberFormat="1" applyFont="1" applyFill="1" applyBorder="1"/>
    <xf numFmtId="0" fontId="50" fillId="7" borderId="24" xfId="17" applyFont="1" applyFill="1" applyBorder="1" applyAlignment="1">
      <alignment horizontal="center" vertical="center"/>
    </xf>
    <xf numFmtId="0" fontId="12" fillId="7" borderId="0" xfId="17" applyFont="1" applyFill="1" applyBorder="1" applyAlignment="1">
      <alignment horizontal="center" vertical="center"/>
    </xf>
    <xf numFmtId="165" fontId="12" fillId="7" borderId="0" xfId="2" applyFont="1" applyFill="1" applyBorder="1" applyAlignment="1" applyProtection="1">
      <alignment horizontal="center" vertical="center"/>
    </xf>
    <xf numFmtId="0" fontId="50" fillId="7" borderId="36" xfId="17" applyFont="1" applyFill="1" applyBorder="1" applyAlignment="1">
      <alignment horizontal="center" vertical="center"/>
    </xf>
    <xf numFmtId="165" fontId="12" fillId="7" borderId="0" xfId="2" applyNumberFormat="1" applyFont="1" applyFill="1" applyBorder="1" applyAlignment="1" applyProtection="1">
      <alignment vertical="center"/>
    </xf>
    <xf numFmtId="165" fontId="12" fillId="7" borderId="33" xfId="2" applyNumberFormat="1" applyFont="1" applyFill="1" applyBorder="1" applyAlignment="1" applyProtection="1">
      <alignment vertical="center"/>
    </xf>
    <xf numFmtId="10" fontId="12" fillId="7" borderId="34" xfId="3" applyNumberFormat="1" applyFont="1" applyFill="1" applyBorder="1" applyAlignment="1" applyProtection="1">
      <alignment horizontal="center" vertical="center"/>
    </xf>
    <xf numFmtId="165" fontId="54" fillId="7" borderId="32" xfId="17" applyNumberFormat="1" applyFont="1" applyFill="1" applyBorder="1" applyAlignment="1">
      <alignment vertical="center"/>
    </xf>
    <xf numFmtId="0" fontId="12" fillId="7" borderId="25" xfId="17" applyFont="1" applyFill="1" applyBorder="1" applyAlignment="1">
      <alignment horizontal="center" vertical="center"/>
    </xf>
    <xf numFmtId="0" fontId="12" fillId="7" borderId="36" xfId="17" applyFont="1" applyFill="1" applyBorder="1" applyAlignment="1">
      <alignment horizontal="center" vertical="center"/>
    </xf>
    <xf numFmtId="0" fontId="12" fillId="7" borderId="0" xfId="17" applyFont="1" applyFill="1"/>
    <xf numFmtId="166" fontId="12" fillId="7" borderId="0" xfId="1" applyNumberFormat="1" applyFont="1" applyFill="1" applyBorder="1" applyAlignment="1" applyProtection="1"/>
    <xf numFmtId="10" fontId="12" fillId="7" borderId="0" xfId="3" applyNumberFormat="1" applyFont="1" applyFill="1" applyBorder="1" applyAlignment="1" applyProtection="1">
      <alignment horizontal="center"/>
    </xf>
    <xf numFmtId="173" fontId="12" fillId="7" borderId="0" xfId="1" applyNumberFormat="1" applyFont="1" applyFill="1" applyBorder="1" applyAlignment="1" applyProtection="1"/>
    <xf numFmtId="164" fontId="50" fillId="7" borderId="0" xfId="1" applyFont="1" applyFill="1" applyBorder="1" applyAlignment="1" applyProtection="1">
      <alignment horizontal="center"/>
    </xf>
    <xf numFmtId="170" fontId="50" fillId="7" borderId="0" xfId="17" applyNumberFormat="1" applyFont="1" applyFill="1"/>
    <xf numFmtId="164" fontId="50" fillId="7" borderId="0" xfId="17" applyNumberFormat="1" applyFont="1" applyFill="1" applyAlignment="1"/>
    <xf numFmtId="170" fontId="12" fillId="7" borderId="0" xfId="17" applyNumberFormat="1" applyFont="1" applyFill="1" applyBorder="1"/>
    <xf numFmtId="0" fontId="12" fillId="0" borderId="25" xfId="17" applyFont="1" applyFill="1" applyBorder="1" applyAlignment="1">
      <alignment horizontal="center" vertical="center"/>
    </xf>
    <xf numFmtId="165" fontId="12" fillId="0" borderId="0" xfId="17" applyNumberFormat="1" applyFont="1" applyFill="1" applyBorder="1"/>
    <xf numFmtId="0" fontId="12" fillId="0" borderId="31" xfId="17" applyFont="1" applyFill="1" applyBorder="1" applyAlignment="1">
      <alignment horizontal="center" vertical="center"/>
    </xf>
    <xf numFmtId="0" fontId="50" fillId="0" borderId="17" xfId="17" applyFont="1" applyFill="1" applyBorder="1" applyAlignment="1">
      <alignment vertical="center"/>
    </xf>
    <xf numFmtId="0" fontId="50" fillId="0" borderId="18" xfId="17" applyFont="1" applyFill="1" applyBorder="1" applyAlignment="1">
      <alignment vertical="center"/>
    </xf>
    <xf numFmtId="165" fontId="12" fillId="0" borderId="18" xfId="2" applyFont="1" applyFill="1" applyBorder="1" applyAlignment="1" applyProtection="1">
      <alignment vertical="center"/>
    </xf>
    <xf numFmtId="0" fontId="12" fillId="0" borderId="19" xfId="17" applyFont="1" applyFill="1" applyBorder="1" applyAlignment="1">
      <alignment horizontal="center" vertical="center"/>
    </xf>
    <xf numFmtId="165" fontId="50" fillId="0" borderId="21" xfId="2" applyFont="1" applyFill="1" applyBorder="1" applyAlignment="1" applyProtection="1">
      <alignment vertical="center"/>
    </xf>
    <xf numFmtId="165" fontId="50" fillId="0" borderId="22" xfId="2" applyFont="1" applyFill="1" applyBorder="1" applyAlignment="1" applyProtection="1">
      <alignment vertical="center"/>
    </xf>
    <xf numFmtId="0" fontId="12" fillId="0" borderId="1" xfId="17" applyFont="1" applyFill="1" applyBorder="1" applyAlignment="1">
      <alignment horizontal="center" vertical="center"/>
    </xf>
    <xf numFmtId="166" fontId="50" fillId="0" borderId="0" xfId="1" applyNumberFormat="1" applyFont="1" applyFill="1" applyBorder="1" applyAlignment="1" applyProtection="1"/>
    <xf numFmtId="170" fontId="50" fillId="0" borderId="0" xfId="17" applyNumberFormat="1" applyFont="1" applyFill="1" applyBorder="1"/>
    <xf numFmtId="170" fontId="12" fillId="7" borderId="0" xfId="17" applyNumberFormat="1" applyFont="1" applyFill="1"/>
    <xf numFmtId="165" fontId="12" fillId="7" borderId="0" xfId="2" applyFont="1" applyFill="1" applyBorder="1" applyAlignment="1" applyProtection="1"/>
    <xf numFmtId="0" fontId="12" fillId="0" borderId="0" xfId="17" applyFont="1" applyFill="1" applyBorder="1" applyAlignment="1">
      <alignment horizontal="center" vertical="center"/>
    </xf>
    <xf numFmtId="165" fontId="12" fillId="0" borderId="0" xfId="2" applyFont="1" applyFill="1" applyBorder="1" applyAlignment="1" applyProtection="1">
      <alignment horizontal="center" vertical="center"/>
    </xf>
    <xf numFmtId="0" fontId="50" fillId="0" borderId="36" xfId="17" applyFont="1" applyFill="1" applyBorder="1" applyAlignment="1">
      <alignment horizontal="center" vertical="center"/>
    </xf>
    <xf numFmtId="165" fontId="12" fillId="0" borderId="0" xfId="2" applyNumberFormat="1" applyFont="1" applyFill="1" applyBorder="1" applyAlignment="1" applyProtection="1">
      <alignment vertical="center"/>
    </xf>
    <xf numFmtId="165" fontId="54" fillId="0" borderId="32" xfId="17" applyNumberFormat="1" applyFont="1" applyBorder="1" applyAlignment="1">
      <alignment vertical="center"/>
    </xf>
    <xf numFmtId="0" fontId="12" fillId="0" borderId="36" xfId="17" applyFont="1" applyFill="1" applyBorder="1" applyAlignment="1">
      <alignment horizontal="center" vertical="center"/>
    </xf>
    <xf numFmtId="165" fontId="0" fillId="7" borderId="0" xfId="11" applyFont="1" applyFill="1" applyBorder="1" applyAlignment="1" applyProtection="1">
      <alignment horizontal="center" vertical="center"/>
    </xf>
    <xf numFmtId="0" fontId="0" fillId="7" borderId="0" xfId="17" applyFont="1" applyFill="1" applyBorder="1" applyAlignment="1">
      <alignment horizontal="center" vertical="center"/>
    </xf>
    <xf numFmtId="165" fontId="12" fillId="7" borderId="33" xfId="2" applyNumberFormat="1" applyFont="1" applyFill="1" applyBorder="1" applyAlignment="1" applyProtection="1">
      <alignment horizontal="right" vertical="center"/>
    </xf>
    <xf numFmtId="165" fontId="12" fillId="7" borderId="32" xfId="2" applyNumberFormat="1" applyFont="1" applyFill="1" applyBorder="1" applyAlignment="1" applyProtection="1">
      <alignment vertical="center"/>
    </xf>
    <xf numFmtId="0" fontId="12" fillId="7" borderId="0" xfId="17" applyFont="1" applyFill="1" applyBorder="1"/>
    <xf numFmtId="10" fontId="50" fillId="7" borderId="0" xfId="3" applyNumberFormat="1" applyFont="1" applyFill="1" applyBorder="1" applyAlignment="1" applyProtection="1">
      <alignment horizontal="center"/>
    </xf>
    <xf numFmtId="0" fontId="12" fillId="0" borderId="27" xfId="17" applyFont="1" applyFill="1" applyBorder="1" applyAlignment="1">
      <alignment horizontal="center" vertical="center"/>
    </xf>
    <xf numFmtId="165" fontId="12" fillId="0" borderId="27" xfId="2" applyNumberFormat="1" applyFont="1" applyFill="1" applyBorder="1" applyAlignment="1" applyProtection="1">
      <alignment vertical="center"/>
    </xf>
    <xf numFmtId="0" fontId="12" fillId="0" borderId="37" xfId="17" applyFont="1" applyFill="1" applyBorder="1" applyAlignment="1">
      <alignment horizontal="center" vertical="center"/>
    </xf>
    <xf numFmtId="0" fontId="0" fillId="0" borderId="0" xfId="17" applyFont="1" applyFill="1" applyBorder="1" applyAlignment="1">
      <alignment horizontal="center"/>
    </xf>
    <xf numFmtId="165" fontId="0" fillId="0" borderId="0" xfId="2" applyFont="1" applyFill="1" applyBorder="1" applyAlignment="1" applyProtection="1">
      <alignment horizontal="center"/>
    </xf>
    <xf numFmtId="165" fontId="0" fillId="0" borderId="0" xfId="2" applyNumberFormat="1" applyFont="1" applyFill="1" applyBorder="1" applyAlignment="1" applyProtection="1"/>
    <xf numFmtId="10" fontId="0" fillId="0" borderId="0" xfId="3" applyNumberFormat="1" applyFont="1" applyFill="1" applyBorder="1" applyAlignment="1" applyProtection="1"/>
    <xf numFmtId="165" fontId="0" fillId="0" borderId="0" xfId="17" applyNumberFormat="1" applyFont="1" applyFill="1" applyBorder="1"/>
    <xf numFmtId="10" fontId="0" fillId="0" borderId="0" xfId="3" applyNumberFormat="1" applyFont="1" applyFill="1" applyBorder="1" applyAlignment="1" applyProtection="1">
      <alignment horizontal="center" vertical="center"/>
    </xf>
    <xf numFmtId="0" fontId="0" fillId="0" borderId="25" xfId="17" applyFont="1" applyFill="1" applyBorder="1" applyAlignment="1">
      <alignment horizontal="center"/>
    </xf>
    <xf numFmtId="0" fontId="0" fillId="0" borderId="36" xfId="17" applyFont="1" applyFill="1" applyBorder="1" applyAlignment="1">
      <alignment horizontal="center"/>
    </xf>
    <xf numFmtId="10" fontId="0" fillId="0" borderId="0" xfId="3" applyNumberFormat="1" applyFont="1" applyFill="1" applyBorder="1" applyAlignment="1" applyProtection="1">
      <alignment horizontal="center"/>
    </xf>
    <xf numFmtId="173" fontId="0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0" fontId="0" fillId="7" borderId="0" xfId="17" applyFont="1" applyFill="1" applyBorder="1" applyAlignment="1">
      <alignment horizontal="left"/>
    </xf>
    <xf numFmtId="0" fontId="15" fillId="0" borderId="0" xfId="17" applyFont="1" applyFill="1" applyBorder="1" applyAlignment="1">
      <alignment horizontal="left"/>
    </xf>
    <xf numFmtId="165" fontId="0" fillId="0" borderId="0" xfId="17" applyNumberFormat="1" applyFont="1" applyFill="1" applyBorder="1" applyAlignment="1">
      <alignment horizontal="center" vertical="center"/>
    </xf>
    <xf numFmtId="164" fontId="0" fillId="0" borderId="31" xfId="1" applyFont="1" applyFill="1" applyBorder="1" applyAlignment="1" applyProtection="1">
      <alignment horizontal="center" vertical="center"/>
    </xf>
    <xf numFmtId="164" fontId="0" fillId="0" borderId="37" xfId="1" applyFont="1" applyFill="1" applyBorder="1" applyAlignment="1" applyProtection="1">
      <alignment horizontal="center" vertical="center"/>
    </xf>
    <xf numFmtId="164" fontId="0" fillId="0" borderId="35" xfId="1" applyFont="1" applyFill="1" applyBorder="1" applyAlignment="1" applyProtection="1">
      <alignment horizontal="center"/>
    </xf>
    <xf numFmtId="166" fontId="0" fillId="0" borderId="0" xfId="1" applyNumberFormat="1" applyFont="1" applyFill="1" applyBorder="1" applyAlignment="1" applyProtection="1">
      <alignment horizontal="center"/>
    </xf>
    <xf numFmtId="10" fontId="0" fillId="0" borderId="35" xfId="17" applyNumberFormat="1" applyFont="1" applyFill="1" applyBorder="1"/>
    <xf numFmtId="166" fontId="4" fillId="0" borderId="35" xfId="1" applyNumberFormat="1" applyFont="1" applyFill="1" applyBorder="1" applyAlignment="1" applyProtection="1"/>
    <xf numFmtId="173" fontId="4" fillId="0" borderId="35" xfId="1" applyNumberFormat="1" applyFont="1" applyFill="1" applyBorder="1" applyAlignment="1" applyProtection="1"/>
    <xf numFmtId="170" fontId="4" fillId="0" borderId="35" xfId="17" applyNumberFormat="1" applyFont="1" applyFill="1" applyBorder="1"/>
    <xf numFmtId="164" fontId="4" fillId="0" borderId="35" xfId="17" applyNumberFormat="1" applyFont="1" applyFill="1" applyBorder="1"/>
    <xf numFmtId="0" fontId="12" fillId="0" borderId="0" xfId="17" applyFont="1" applyFill="1" applyBorder="1" applyAlignment="1">
      <alignment horizontal="left"/>
    </xf>
    <xf numFmtId="170" fontId="4" fillId="0" borderId="0" xfId="17" applyNumberFormat="1" applyFont="1" applyFill="1"/>
    <xf numFmtId="10" fontId="0" fillId="0" borderId="0" xfId="17" applyNumberFormat="1" applyFont="1" applyFill="1"/>
    <xf numFmtId="174" fontId="0" fillId="0" borderId="0" xfId="17" applyNumberFormat="1" applyFont="1" applyFill="1"/>
    <xf numFmtId="165" fontId="12" fillId="0" borderId="0" xfId="2" applyNumberFormat="1" applyFont="1" applyFill="1" applyBorder="1" applyAlignment="1" applyProtection="1"/>
    <xf numFmtId="170" fontId="0" fillId="0" borderId="0" xfId="17" applyNumberFormat="1" applyFont="1" applyFill="1" applyAlignment="1">
      <alignment horizontal="center" vertical="center"/>
    </xf>
    <xf numFmtId="166" fontId="4" fillId="0" borderId="0" xfId="1" applyNumberFormat="1" applyFont="1" applyFill="1" applyBorder="1" applyAlignment="1" applyProtection="1"/>
    <xf numFmtId="164" fontId="0" fillId="0" borderId="0" xfId="17" applyNumberFormat="1" applyFont="1" applyFill="1"/>
    <xf numFmtId="170" fontId="15" fillId="0" borderId="0" xfId="17" applyNumberFormat="1" applyFont="1" applyFill="1" applyAlignment="1">
      <alignment horizontal="right"/>
    </xf>
    <xf numFmtId="170" fontId="4" fillId="0" borderId="38" xfId="17" applyNumberFormat="1" applyFont="1" applyFill="1" applyBorder="1"/>
    <xf numFmtId="0" fontId="98" fillId="0" borderId="0" xfId="17"/>
    <xf numFmtId="165" fontId="98" fillId="0" borderId="0" xfId="17" applyNumberFormat="1"/>
    <xf numFmtId="0" fontId="0" fillId="0" borderId="0" xfId="23" applyFont="1"/>
    <xf numFmtId="165" fontId="0" fillId="0" borderId="0" xfId="11" applyFont="1" applyFill="1" applyBorder="1" applyAlignment="1" applyProtection="1"/>
    <xf numFmtId="0" fontId="55" fillId="0" borderId="0" xfId="17" applyFont="1" applyFill="1" applyAlignment="1">
      <alignment horizontal="center"/>
    </xf>
    <xf numFmtId="0" fontId="4" fillId="0" borderId="0" xfId="17" applyFont="1" applyFill="1" applyAlignment="1">
      <alignment horizontal="center"/>
    </xf>
    <xf numFmtId="0" fontId="0" fillId="0" borderId="0" xfId="17" applyFont="1" applyFill="1" applyAlignment="1">
      <alignment horizontal="right"/>
    </xf>
    <xf numFmtId="0" fontId="4" fillId="0" borderId="0" xfId="17" applyFont="1" applyFill="1" applyAlignment="1">
      <alignment horizontal="right"/>
    </xf>
    <xf numFmtId="0" fontId="4" fillId="0" borderId="0" xfId="17" applyFont="1" applyFill="1" applyAlignment="1">
      <alignment horizontal="left"/>
    </xf>
    <xf numFmtId="165" fontId="0" fillId="0" borderId="16" xfId="2" applyFont="1" applyFill="1" applyBorder="1" applyAlignment="1" applyProtection="1">
      <alignment horizontal="center"/>
    </xf>
    <xf numFmtId="0" fontId="4" fillId="0" borderId="0" xfId="17" applyFont="1" applyFill="1"/>
    <xf numFmtId="0" fontId="0" fillId="0" borderId="0" xfId="0" applyFont="1" applyFill="1" applyProtection="1"/>
    <xf numFmtId="0" fontId="3" fillId="0" borderId="0" xfId="0" applyFont="1" applyFill="1" applyProtection="1"/>
    <xf numFmtId="0" fontId="57" fillId="8" borderId="0" xfId="0" applyFont="1" applyFill="1" applyProtection="1"/>
    <xf numFmtId="0" fontId="57" fillId="0" borderId="0" xfId="0" applyFont="1" applyFill="1" applyProtection="1"/>
    <xf numFmtId="0" fontId="57" fillId="0" borderId="0" xfId="0" applyFont="1" applyFill="1" applyAlignment="1" applyProtection="1">
      <alignment horizontal="center"/>
    </xf>
    <xf numFmtId="0" fontId="57" fillId="0" borderId="0" xfId="0" applyFont="1" applyFill="1" applyAlignment="1" applyProtection="1">
      <alignment horizontal="left"/>
    </xf>
    <xf numFmtId="0" fontId="0" fillId="5" borderId="0" xfId="0" applyFont="1" applyFill="1" applyProtection="1"/>
    <xf numFmtId="0" fontId="57" fillId="8" borderId="0" xfId="0" applyFont="1" applyFill="1" applyAlignment="1" applyProtection="1">
      <alignment horizontal="center"/>
    </xf>
    <xf numFmtId="0" fontId="57" fillId="9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57" fillId="0" borderId="0" xfId="0" applyFont="1" applyProtection="1"/>
    <xf numFmtId="0" fontId="57" fillId="1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9" fillId="0" borderId="0" xfId="0" applyFont="1" applyFill="1" applyAlignment="1" applyProtection="1">
      <alignment horizontal="center"/>
    </xf>
    <xf numFmtId="0" fontId="58" fillId="0" borderId="0" xfId="0" applyFont="1" applyFill="1" applyProtection="1"/>
    <xf numFmtId="0" fontId="3" fillId="5" borderId="0" xfId="0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59" fillId="0" borderId="0" xfId="0" applyFont="1" applyFill="1" applyAlignment="1" applyProtection="1"/>
    <xf numFmtId="0" fontId="4" fillId="0" borderId="0" xfId="0" applyFont="1" applyFill="1" applyAlignment="1" applyProtection="1"/>
    <xf numFmtId="175" fontId="60" fillId="11" borderId="0" xfId="0" applyNumberFormat="1" applyFont="1" applyFill="1" applyAlignment="1" applyProtection="1">
      <alignment horizontal="center"/>
    </xf>
    <xf numFmtId="175" fontId="34" fillId="11" borderId="0" xfId="0" applyNumberFormat="1" applyFont="1" applyFill="1" applyAlignment="1" applyProtection="1">
      <alignment horizontal="center"/>
    </xf>
    <xf numFmtId="0" fontId="59" fillId="0" borderId="0" xfId="0" applyFont="1" applyFill="1" applyAlignment="1" applyProtection="1">
      <alignment horizontal="center"/>
    </xf>
    <xf numFmtId="175" fontId="61" fillId="0" borderId="0" xfId="0" applyNumberFormat="1" applyFont="1" applyFill="1" applyAlignment="1" applyProtection="1">
      <alignment horizontal="center"/>
    </xf>
    <xf numFmtId="1" fontId="3" fillId="5" borderId="0" xfId="0" applyNumberFormat="1" applyFont="1" applyFill="1" applyAlignment="1" applyProtection="1">
      <alignment horizontal="center"/>
    </xf>
    <xf numFmtId="0" fontId="61" fillId="0" borderId="0" xfId="0" applyFont="1" applyFill="1" applyAlignment="1" applyProtection="1">
      <alignment horizontal="center"/>
    </xf>
    <xf numFmtId="0" fontId="59" fillId="0" borderId="0" xfId="0" applyFont="1" applyFill="1" applyProtection="1"/>
    <xf numFmtId="0" fontId="62" fillId="0" borderId="0" xfId="0" applyFont="1" applyProtection="1"/>
    <xf numFmtId="176" fontId="62" fillId="0" borderId="0" xfId="0" applyNumberFormat="1" applyFont="1" applyProtection="1"/>
    <xf numFmtId="175" fontId="57" fillId="0" borderId="0" xfId="0" applyNumberFormat="1" applyFont="1" applyFill="1" applyProtection="1"/>
    <xf numFmtId="0" fontId="3" fillId="5" borderId="0" xfId="0" applyFont="1" applyFill="1" applyProtection="1"/>
    <xf numFmtId="0" fontId="39" fillId="0" borderId="0" xfId="0" applyFont="1" applyFill="1" applyProtection="1"/>
    <xf numFmtId="176" fontId="58" fillId="0" borderId="0" xfId="0" applyNumberFormat="1" applyFont="1" applyAlignment="1" applyProtection="1">
      <alignment horizontal="center"/>
    </xf>
    <xf numFmtId="0" fontId="3" fillId="12" borderId="0" xfId="0" applyFont="1" applyFill="1" applyProtection="1"/>
    <xf numFmtId="167" fontId="0" fillId="0" borderId="0" xfId="0" applyNumberFormat="1" applyFont="1" applyFill="1" applyProtection="1"/>
    <xf numFmtId="49" fontId="62" fillId="0" borderId="0" xfId="0" applyNumberFormat="1" applyFont="1" applyProtection="1"/>
    <xf numFmtId="0" fontId="57" fillId="6" borderId="0" xfId="0" applyFont="1" applyFill="1" applyProtection="1"/>
    <xf numFmtId="0" fontId="4" fillId="6" borderId="0" xfId="0" applyFont="1" applyFill="1" applyAlignment="1" applyProtection="1">
      <alignment horizontal="center"/>
    </xf>
    <xf numFmtId="0" fontId="0" fillId="6" borderId="0" xfId="0" applyFont="1" applyFill="1" applyProtection="1"/>
    <xf numFmtId="0" fontId="49" fillId="6" borderId="0" xfId="0" applyFont="1" applyFill="1" applyAlignment="1" applyProtection="1">
      <alignment horizontal="center"/>
    </xf>
    <xf numFmtId="0" fontId="3" fillId="6" borderId="0" xfId="0" applyFont="1" applyFill="1" applyAlignment="1" applyProtection="1">
      <alignment horizontal="center"/>
    </xf>
    <xf numFmtId="0" fontId="63" fillId="6" borderId="0" xfId="0" applyFont="1" applyFill="1" applyAlignment="1" applyProtection="1">
      <alignment horizontal="center"/>
    </xf>
    <xf numFmtId="0" fontId="57" fillId="6" borderId="0" xfId="0" applyFont="1" applyFill="1" applyAlignment="1" applyProtection="1">
      <alignment horizontal="center"/>
    </xf>
    <xf numFmtId="0" fontId="0" fillId="6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4" fillId="6" borderId="0" xfId="0" applyFont="1" applyFill="1" applyProtection="1"/>
    <xf numFmtId="0" fontId="11" fillId="6" borderId="0" xfId="0" applyFont="1" applyFill="1" applyAlignment="1" applyProtection="1">
      <alignment horizontal="center"/>
    </xf>
    <xf numFmtId="0" fontId="11" fillId="6" borderId="16" xfId="0" applyFont="1" applyFill="1" applyBorder="1" applyAlignment="1" applyProtection="1">
      <alignment horizontal="center"/>
    </xf>
    <xf numFmtId="0" fontId="11" fillId="6" borderId="16" xfId="0" applyFont="1" applyFill="1" applyBorder="1" applyAlignment="1" applyProtection="1">
      <alignment horizontal="right"/>
    </xf>
    <xf numFmtId="0" fontId="11" fillId="6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/>
    </xf>
    <xf numFmtId="0" fontId="61" fillId="6" borderId="0" xfId="0" applyFont="1" applyFill="1" applyAlignment="1" applyProtection="1">
      <alignment horizontal="center"/>
    </xf>
    <xf numFmtId="0" fontId="3" fillId="6" borderId="0" xfId="0" applyFont="1" applyFill="1" applyProtection="1"/>
    <xf numFmtId="0" fontId="57" fillId="13" borderId="16" xfId="0" applyFont="1" applyFill="1" applyBorder="1" applyAlignment="1" applyProtection="1">
      <alignment horizontal="center"/>
    </xf>
    <xf numFmtId="0" fontId="0" fillId="13" borderId="16" xfId="0" applyFont="1" applyFill="1" applyBorder="1" applyAlignment="1" applyProtection="1">
      <alignment horizontal="center"/>
    </xf>
    <xf numFmtId="0" fontId="3" fillId="13" borderId="16" xfId="0" applyFont="1" applyFill="1" applyBorder="1" applyAlignment="1" applyProtection="1">
      <alignment horizontal="center"/>
    </xf>
    <xf numFmtId="0" fontId="11" fillId="6" borderId="0" xfId="0" applyFont="1" applyFill="1" applyBorder="1" applyAlignment="1" applyProtection="1">
      <alignment horizontal="center"/>
    </xf>
    <xf numFmtId="0" fontId="64" fillId="6" borderId="0" xfId="0" applyFont="1" applyFill="1" applyProtection="1"/>
    <xf numFmtId="0" fontId="11" fillId="6" borderId="0" xfId="0" applyFont="1" applyFill="1" applyProtection="1"/>
    <xf numFmtId="0" fontId="61" fillId="6" borderId="16" xfId="0" applyFont="1" applyFill="1" applyBorder="1" applyAlignment="1" applyProtection="1">
      <alignment horizontal="center"/>
    </xf>
    <xf numFmtId="0" fontId="4" fillId="6" borderId="0" xfId="0" applyFont="1" applyFill="1" applyBorder="1" applyProtection="1"/>
    <xf numFmtId="0" fontId="4" fillId="6" borderId="16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6" borderId="0" xfId="0" applyFont="1" applyFill="1" applyBorder="1" applyAlignment="1" applyProtection="1">
      <alignment horizontal="left"/>
    </xf>
    <xf numFmtId="0" fontId="37" fillId="0" borderId="0" xfId="0" applyFont="1" applyProtection="1"/>
    <xf numFmtId="0" fontId="3" fillId="5" borderId="0" xfId="0" applyFont="1" applyFill="1" applyAlignment="1" applyProtection="1">
      <alignment horizontal="left"/>
    </xf>
    <xf numFmtId="0" fontId="57" fillId="14" borderId="0" xfId="0" applyFont="1" applyFill="1" applyAlignment="1" applyProtection="1">
      <alignment horizontal="center"/>
    </xf>
    <xf numFmtId="0" fontId="3" fillId="6" borderId="0" xfId="0" applyFont="1" applyFill="1" applyBorder="1" applyAlignment="1" applyProtection="1">
      <alignment horizontal="left" indent="2"/>
    </xf>
    <xf numFmtId="177" fontId="3" fillId="6" borderId="0" xfId="2" applyNumberFormat="1" applyFont="1" applyFill="1" applyBorder="1" applyAlignment="1" applyProtection="1"/>
    <xf numFmtId="178" fontId="3" fillId="6" borderId="0" xfId="2" applyNumberFormat="1" applyFont="1" applyFill="1" applyBorder="1" applyAlignment="1" applyProtection="1"/>
    <xf numFmtId="178" fontId="3" fillId="6" borderId="0" xfId="0" applyNumberFormat="1" applyFont="1" applyFill="1" applyBorder="1" applyAlignment="1" applyProtection="1">
      <alignment horizontal="left" indent="2"/>
    </xf>
    <xf numFmtId="178" fontId="3" fillId="6" borderId="0" xfId="0" applyNumberFormat="1" applyFont="1" applyFill="1" applyProtection="1"/>
    <xf numFmtId="178" fontId="3" fillId="6" borderId="0" xfId="13" applyNumberFormat="1" applyFont="1" applyFill="1" applyBorder="1" applyAlignment="1" applyProtection="1">
      <protection locked="0"/>
    </xf>
    <xf numFmtId="166" fontId="57" fillId="6" borderId="0" xfId="1" applyNumberFormat="1" applyFont="1" applyFill="1" applyBorder="1" applyAlignment="1" applyProtection="1"/>
    <xf numFmtId="0" fontId="0" fillId="6" borderId="16" xfId="17" applyFont="1" applyFill="1" applyBorder="1" applyAlignment="1" applyProtection="1">
      <alignment horizontal="left"/>
      <protection locked="0"/>
    </xf>
    <xf numFmtId="164" fontId="57" fillId="0" borderId="0" xfId="1" applyFont="1" applyFill="1" applyBorder="1" applyAlignment="1" applyProtection="1"/>
    <xf numFmtId="0" fontId="3" fillId="0" borderId="0" xfId="0" applyFont="1" applyFill="1" applyAlignment="1" applyProtection="1">
      <alignment horizontal="left"/>
    </xf>
    <xf numFmtId="179" fontId="3" fillId="6" borderId="0" xfId="2" applyNumberFormat="1" applyFont="1" applyFill="1" applyBorder="1" applyAlignment="1" applyProtection="1"/>
    <xf numFmtId="179" fontId="3" fillId="6" borderId="0" xfId="0" applyNumberFormat="1" applyFont="1" applyFill="1" applyBorder="1" applyAlignment="1" applyProtection="1">
      <alignment horizontal="left" indent="2"/>
    </xf>
    <xf numFmtId="180" fontId="3" fillId="6" borderId="0" xfId="2" applyNumberFormat="1" applyFont="1" applyFill="1" applyBorder="1" applyAlignment="1" applyProtection="1"/>
    <xf numFmtId="180" fontId="3" fillId="6" borderId="0" xfId="0" applyNumberFormat="1" applyFont="1" applyFill="1" applyBorder="1" applyAlignment="1" applyProtection="1">
      <alignment horizontal="left" indent="2"/>
    </xf>
    <xf numFmtId="180" fontId="3" fillId="6" borderId="0" xfId="0" applyNumberFormat="1" applyFont="1" applyFill="1" applyProtection="1"/>
    <xf numFmtId="180" fontId="3" fillId="6" borderId="0" xfId="13" applyNumberFormat="1" applyFont="1" applyFill="1" applyBorder="1" applyAlignment="1" applyProtection="1">
      <protection locked="0"/>
    </xf>
    <xf numFmtId="180" fontId="3" fillId="6" borderId="0" xfId="1" applyNumberFormat="1" applyFont="1" applyFill="1" applyBorder="1" applyAlignment="1" applyProtection="1"/>
    <xf numFmtId="180" fontId="3" fillId="6" borderId="0" xfId="1" applyNumberFormat="1" applyFont="1" applyFill="1" applyBorder="1" applyAlignment="1" applyProtection="1">
      <protection locked="0"/>
    </xf>
    <xf numFmtId="0" fontId="11" fillId="0" borderId="0" xfId="0" applyFont="1" applyFill="1" applyAlignment="1" applyProtection="1">
      <alignment horizontal="center"/>
    </xf>
    <xf numFmtId="180" fontId="3" fillId="0" borderId="0" xfId="13" applyNumberFormat="1" applyFont="1" applyFill="1" applyBorder="1" applyAlignment="1" applyProtection="1">
      <protection locked="0"/>
    </xf>
    <xf numFmtId="171" fontId="3" fillId="6" borderId="0" xfId="2" applyNumberFormat="1" applyFont="1" applyFill="1" applyBorder="1" applyAlignment="1" applyProtection="1"/>
    <xf numFmtId="164" fontId="0" fillId="6" borderId="0" xfId="4" applyFont="1" applyFill="1" applyBorder="1" applyAlignment="1" applyProtection="1">
      <alignment horizontal="left"/>
    </xf>
    <xf numFmtId="0" fontId="3" fillId="15" borderId="0" xfId="0" applyFont="1" applyFill="1" applyProtection="1"/>
    <xf numFmtId="0" fontId="11" fillId="6" borderId="0" xfId="0" applyFont="1" applyFill="1" applyBorder="1" applyAlignment="1" applyProtection="1">
      <alignment horizontal="left" indent="1"/>
    </xf>
    <xf numFmtId="0" fontId="0" fillId="16" borderId="0" xfId="0" applyFont="1" applyFill="1" applyAlignment="1" applyProtection="1">
      <alignment horizontal="center"/>
    </xf>
    <xf numFmtId="0" fontId="65" fillId="6" borderId="0" xfId="0" applyFont="1" applyFill="1" applyAlignment="1" applyProtection="1">
      <alignment horizontal="left" wrapText="1" indent="4"/>
    </xf>
    <xf numFmtId="177" fontId="3" fillId="6" borderId="39" xfId="2" applyNumberFormat="1" applyFont="1" applyFill="1" applyBorder="1" applyAlignment="1" applyProtection="1"/>
    <xf numFmtId="180" fontId="3" fillId="6" borderId="39" xfId="2" applyNumberFormat="1" applyFont="1" applyFill="1" applyBorder="1" applyAlignment="1" applyProtection="1"/>
    <xf numFmtId="177" fontId="57" fillId="0" borderId="0" xfId="0" applyNumberFormat="1" applyFont="1" applyFill="1" applyProtection="1"/>
    <xf numFmtId="171" fontId="57" fillId="0" borderId="0" xfId="0" applyNumberFormat="1" applyFont="1" applyFill="1" applyProtection="1"/>
    <xf numFmtId="0" fontId="4" fillId="6" borderId="40" xfId="0" applyFont="1" applyFill="1" applyBorder="1" applyAlignment="1" applyProtection="1">
      <alignment horizontal="left" indent="1"/>
    </xf>
    <xf numFmtId="0" fontId="4" fillId="6" borderId="39" xfId="0" applyFont="1" applyFill="1" applyBorder="1" applyAlignment="1" applyProtection="1">
      <alignment horizontal="left" indent="2"/>
    </xf>
    <xf numFmtId="179" fontId="4" fillId="6" borderId="39" xfId="2" applyNumberFormat="1" applyFont="1" applyFill="1" applyBorder="1" applyAlignment="1" applyProtection="1"/>
    <xf numFmtId="179" fontId="4" fillId="6" borderId="39" xfId="0" applyNumberFormat="1" applyFont="1" applyFill="1" applyBorder="1" applyAlignment="1" applyProtection="1">
      <alignment horizontal="left" indent="2"/>
    </xf>
    <xf numFmtId="180" fontId="4" fillId="6" borderId="39" xfId="2" applyNumberFormat="1" applyFont="1" applyFill="1" applyBorder="1" applyAlignment="1" applyProtection="1"/>
    <xf numFmtId="180" fontId="4" fillId="6" borderId="39" xfId="0" applyNumberFormat="1" applyFont="1" applyFill="1" applyBorder="1" applyAlignment="1" applyProtection="1">
      <alignment horizontal="left" indent="2"/>
    </xf>
    <xf numFmtId="180" fontId="4" fillId="6" borderId="39" xfId="0" applyNumberFormat="1" applyFont="1" applyFill="1" applyBorder="1" applyProtection="1"/>
    <xf numFmtId="180" fontId="4" fillId="6" borderId="41" xfId="2" applyNumberFormat="1" applyFont="1" applyFill="1" applyBorder="1" applyAlignment="1" applyProtection="1"/>
    <xf numFmtId="0" fontId="0" fillId="0" borderId="0" xfId="0" applyFont="1" applyFill="1" applyAlignment="1" applyProtection="1">
      <alignment horizontal="left"/>
    </xf>
    <xf numFmtId="0" fontId="0" fillId="8" borderId="0" xfId="0" applyFont="1" applyFill="1" applyAlignment="1" applyProtection="1">
      <alignment horizontal="center"/>
    </xf>
    <xf numFmtId="0" fontId="66" fillId="6" borderId="0" xfId="0" applyFont="1" applyFill="1" applyBorder="1" applyAlignment="1" applyProtection="1">
      <alignment horizontal="right"/>
    </xf>
    <xf numFmtId="0" fontId="0" fillId="6" borderId="0" xfId="0" applyFont="1" applyFill="1" applyBorder="1" applyAlignment="1" applyProtection="1">
      <alignment horizontal="left" indent="2"/>
    </xf>
    <xf numFmtId="177" fontId="0" fillId="6" borderId="0" xfId="2" applyNumberFormat="1" applyFont="1" applyFill="1" applyBorder="1" applyAlignment="1" applyProtection="1"/>
    <xf numFmtId="180" fontId="0" fillId="6" borderId="0" xfId="2" applyNumberFormat="1" applyFont="1" applyFill="1" applyBorder="1" applyAlignment="1" applyProtection="1"/>
    <xf numFmtId="180" fontId="0" fillId="6" borderId="0" xfId="0" applyNumberFormat="1" applyFont="1" applyFill="1" applyBorder="1" applyAlignment="1" applyProtection="1">
      <alignment horizontal="left" indent="2"/>
    </xf>
    <xf numFmtId="180" fontId="0" fillId="6" borderId="0" xfId="0" applyNumberFormat="1" applyFont="1" applyFill="1" applyBorder="1" applyProtection="1"/>
    <xf numFmtId="180" fontId="67" fillId="11" borderId="3" xfId="2" applyNumberFormat="1" applyFont="1" applyFill="1" applyBorder="1" applyAlignment="1" applyProtection="1"/>
    <xf numFmtId="0" fontId="68" fillId="6" borderId="0" xfId="0" applyFont="1" applyFill="1" applyBorder="1" applyAlignment="1" applyProtection="1">
      <alignment horizontal="left"/>
    </xf>
    <xf numFmtId="180" fontId="3" fillId="6" borderId="0" xfId="0" applyNumberFormat="1" applyFont="1" applyFill="1" applyBorder="1" applyProtection="1"/>
    <xf numFmtId="0" fontId="0" fillId="9" borderId="0" xfId="0" applyFont="1" applyFill="1" applyAlignment="1" applyProtection="1">
      <alignment horizontal="center"/>
    </xf>
    <xf numFmtId="166" fontId="3" fillId="6" borderId="0" xfId="1" applyNumberFormat="1" applyFont="1" applyFill="1" applyBorder="1" applyAlignment="1" applyProtection="1"/>
    <xf numFmtId="0" fontId="3" fillId="6" borderId="0" xfId="0" applyFont="1" applyFill="1" applyAlignment="1" applyProtection="1">
      <alignment horizontal="left" indent="2"/>
    </xf>
    <xf numFmtId="180" fontId="3" fillId="6" borderId="0" xfId="0" applyNumberFormat="1" applyFont="1" applyFill="1" applyAlignment="1" applyProtection="1">
      <alignment horizontal="left" indent="2"/>
    </xf>
    <xf numFmtId="180" fontId="3" fillId="6" borderId="0" xfId="7" applyNumberFormat="1" applyFont="1" applyFill="1" applyBorder="1" applyAlignment="1" applyProtection="1">
      <protection locked="0"/>
    </xf>
    <xf numFmtId="0" fontId="69" fillId="6" borderId="0" xfId="0" applyFont="1" applyFill="1" applyBorder="1" applyAlignment="1" applyProtection="1">
      <alignment horizontal="left" indent="3"/>
    </xf>
    <xf numFmtId="179" fontId="11" fillId="6" borderId="39" xfId="0" applyNumberFormat="1" applyFont="1" applyFill="1" applyBorder="1" applyProtection="1"/>
    <xf numFmtId="180" fontId="11" fillId="6" borderId="39" xfId="0" applyNumberFormat="1" applyFont="1" applyFill="1" applyBorder="1" applyProtection="1"/>
    <xf numFmtId="0" fontId="69" fillId="6" borderId="0" xfId="0" applyFont="1" applyFill="1" applyBorder="1" applyAlignment="1" applyProtection="1">
      <alignment horizontal="left" indent="1"/>
    </xf>
    <xf numFmtId="0" fontId="55" fillId="6" borderId="0" xfId="0" applyFont="1" applyFill="1" applyBorder="1" applyAlignment="1" applyProtection="1">
      <alignment horizontal="left" indent="2"/>
    </xf>
    <xf numFmtId="164" fontId="0" fillId="6" borderId="0" xfId="1" applyFont="1" applyFill="1" applyBorder="1" applyAlignment="1" applyProtection="1"/>
    <xf numFmtId="10" fontId="0" fillId="6" borderId="16" xfId="17" applyNumberFormat="1" applyFont="1" applyFill="1" applyBorder="1" applyAlignment="1" applyProtection="1">
      <alignment horizontal="left"/>
      <protection locked="0"/>
    </xf>
    <xf numFmtId="166" fontId="0" fillId="0" borderId="0" xfId="0" applyNumberFormat="1" applyFont="1" applyFill="1" applyProtection="1"/>
    <xf numFmtId="9" fontId="0" fillId="6" borderId="16" xfId="17" applyNumberFormat="1" applyFont="1" applyFill="1" applyBorder="1" applyAlignment="1" applyProtection="1">
      <alignment horizontal="left"/>
      <protection locked="0"/>
    </xf>
    <xf numFmtId="0" fontId="0" fillId="6" borderId="0" xfId="0" applyFont="1" applyFill="1" applyBorder="1" applyProtection="1"/>
    <xf numFmtId="180" fontId="0" fillId="6" borderId="0" xfId="0" applyNumberFormat="1" applyFont="1" applyFill="1" applyProtection="1"/>
    <xf numFmtId="0" fontId="0" fillId="6" borderId="0" xfId="0" applyFont="1" applyFill="1" applyBorder="1" applyAlignment="1" applyProtection="1">
      <alignment horizontal="left"/>
    </xf>
    <xf numFmtId="0" fontId="11" fillId="6" borderId="0" xfId="0" applyFont="1" applyFill="1" applyBorder="1" applyProtection="1"/>
    <xf numFmtId="180" fontId="11" fillId="6" borderId="0" xfId="0" applyNumberFormat="1" applyFont="1" applyFill="1" applyBorder="1" applyProtection="1"/>
    <xf numFmtId="0" fontId="3" fillId="8" borderId="0" xfId="0" applyFont="1" applyFill="1" applyProtection="1"/>
    <xf numFmtId="0" fontId="70" fillId="6" borderId="0" xfId="0" applyFont="1" applyFill="1" applyAlignment="1" applyProtection="1">
      <alignment horizontal="right"/>
    </xf>
    <xf numFmtId="180" fontId="61" fillId="11" borderId="3" xfId="0" applyNumberFormat="1" applyFont="1" applyFill="1" applyBorder="1" applyProtection="1"/>
    <xf numFmtId="0" fontId="34" fillId="6" borderId="0" xfId="0" applyFont="1" applyFill="1" applyBorder="1" applyAlignment="1" applyProtection="1">
      <alignment horizontal="left"/>
    </xf>
    <xf numFmtId="180" fontId="0" fillId="17" borderId="0" xfId="0" applyNumberFormat="1" applyFont="1" applyFill="1" applyProtection="1"/>
    <xf numFmtId="180" fontId="0" fillId="0" borderId="0" xfId="0" applyNumberFormat="1" applyFont="1" applyFill="1" applyProtection="1"/>
    <xf numFmtId="0" fontId="0" fillId="14" borderId="0" xfId="0" applyFont="1" applyFill="1" applyProtection="1"/>
    <xf numFmtId="0" fontId="0" fillId="18" borderId="0" xfId="0" applyFont="1" applyFill="1" applyProtection="1"/>
    <xf numFmtId="0" fontId="69" fillId="6" borderId="0" xfId="0" applyFont="1" applyFill="1" applyAlignment="1" applyProtection="1">
      <alignment horizontal="left" indent="1"/>
    </xf>
    <xf numFmtId="180" fontId="3" fillId="0" borderId="0" xfId="2" applyNumberFormat="1" applyFont="1" applyFill="1" applyBorder="1" applyAlignment="1" applyProtection="1"/>
    <xf numFmtId="180" fontId="0" fillId="0" borderId="0" xfId="0" applyNumberFormat="1" applyFont="1" applyFill="1" applyBorder="1" applyProtection="1"/>
    <xf numFmtId="0" fontId="69" fillId="6" borderId="0" xfId="0" applyFont="1" applyFill="1" applyAlignment="1" applyProtection="1">
      <alignment horizontal="left" indent="3"/>
    </xf>
    <xf numFmtId="180" fontId="11" fillId="0" borderId="39" xfId="0" applyNumberFormat="1" applyFont="1" applyFill="1" applyBorder="1" applyProtection="1"/>
    <xf numFmtId="0" fontId="3" fillId="18" borderId="0" xfId="0" applyFont="1" applyFill="1" applyProtection="1"/>
    <xf numFmtId="0" fontId="3" fillId="6" borderId="0" xfId="0" applyFont="1" applyFill="1" applyBorder="1" applyAlignment="1" applyProtection="1">
      <alignment horizontal="left"/>
    </xf>
    <xf numFmtId="0" fontId="3" fillId="16" borderId="0" xfId="0" applyFont="1" applyFill="1" applyAlignment="1" applyProtection="1">
      <alignment horizontal="center"/>
    </xf>
    <xf numFmtId="0" fontId="0" fillId="6" borderId="16" xfId="0" applyFont="1" applyFill="1" applyBorder="1" applyAlignment="1" applyProtection="1">
      <alignment horizontal="left"/>
      <protection locked="0"/>
    </xf>
    <xf numFmtId="181" fontId="3" fillId="6" borderId="0" xfId="0" applyNumberFormat="1" applyFont="1" applyFill="1" applyProtection="1"/>
    <xf numFmtId="166" fontId="4" fillId="6" borderId="0" xfId="1" applyNumberFormat="1" applyFont="1" applyFill="1" applyBorder="1" applyAlignment="1" applyProtection="1"/>
    <xf numFmtId="180" fontId="4" fillId="6" borderId="0" xfId="1" applyNumberFormat="1" applyFont="1" applyFill="1" applyBorder="1" applyAlignment="1" applyProtection="1"/>
    <xf numFmtId="180" fontId="4" fillId="18" borderId="0" xfId="1" applyNumberFormat="1" applyFont="1" applyFill="1" applyBorder="1" applyAlignment="1" applyProtection="1"/>
    <xf numFmtId="0" fontId="62" fillId="5" borderId="0" xfId="0" applyFont="1" applyFill="1" applyAlignment="1" applyProtection="1">
      <alignment wrapText="1"/>
    </xf>
    <xf numFmtId="179" fontId="3" fillId="6" borderId="0" xfId="1" applyNumberFormat="1" applyFont="1" applyFill="1" applyBorder="1" applyAlignment="1" applyProtection="1"/>
    <xf numFmtId="0" fontId="3" fillId="15" borderId="0" xfId="0" applyFont="1" applyFill="1" applyAlignment="1" applyProtection="1">
      <alignment wrapText="1"/>
    </xf>
    <xf numFmtId="0" fontId="55" fillId="6" borderId="0" xfId="0" applyFont="1" applyFill="1" applyAlignment="1" applyProtection="1">
      <alignment horizontal="left" indent="3"/>
    </xf>
    <xf numFmtId="0" fontId="4" fillId="6" borderId="39" xfId="0" applyFont="1" applyFill="1" applyBorder="1" applyProtection="1"/>
    <xf numFmtId="180" fontId="4" fillId="0" borderId="39" xfId="2" applyNumberFormat="1" applyFont="1" applyFill="1" applyBorder="1" applyAlignment="1" applyProtection="1"/>
    <xf numFmtId="0" fontId="62" fillId="15" borderId="0" xfId="0" applyFont="1" applyFill="1" applyAlignment="1" applyProtection="1">
      <alignment horizontal="left"/>
    </xf>
    <xf numFmtId="0" fontId="0" fillId="6" borderId="0" xfId="0" applyFont="1" applyFill="1" applyAlignment="1" applyProtection="1">
      <alignment horizontal="left"/>
    </xf>
    <xf numFmtId="179" fontId="11" fillId="6" borderId="0" xfId="0" applyNumberFormat="1" applyFont="1" applyFill="1" applyBorder="1" applyProtection="1"/>
    <xf numFmtId="0" fontId="0" fillId="17" borderId="0" xfId="0" applyFont="1" applyFill="1" applyProtection="1"/>
    <xf numFmtId="0" fontId="0" fillId="8" borderId="0" xfId="0" applyFont="1" applyFill="1" applyProtection="1"/>
    <xf numFmtId="179" fontId="4" fillId="6" borderId="0" xfId="2" applyNumberFormat="1" applyFont="1" applyFill="1" applyBorder="1" applyAlignment="1" applyProtection="1"/>
    <xf numFmtId="180" fontId="4" fillId="6" borderId="0" xfId="2" applyNumberFormat="1" applyFont="1" applyFill="1" applyBorder="1" applyAlignment="1" applyProtection="1"/>
    <xf numFmtId="180" fontId="4" fillId="6" borderId="0" xfId="0" applyNumberFormat="1" applyFont="1" applyFill="1" applyBorder="1" applyProtection="1"/>
    <xf numFmtId="166" fontId="0" fillId="6" borderId="0" xfId="1" applyNumberFormat="1" applyFont="1" applyFill="1" applyBorder="1" applyAlignment="1" applyProtection="1"/>
    <xf numFmtId="0" fontId="4" fillId="6" borderId="0" xfId="0" applyFont="1" applyFill="1" applyAlignment="1" applyProtection="1">
      <alignment horizontal="left" indent="2"/>
    </xf>
    <xf numFmtId="180" fontId="67" fillId="11" borderId="40" xfId="0" applyNumberFormat="1" applyFont="1" applyFill="1" applyBorder="1" applyProtection="1"/>
    <xf numFmtId="180" fontId="67" fillId="11" borderId="39" xfId="0" applyNumberFormat="1" applyFont="1" applyFill="1" applyBorder="1" applyProtection="1"/>
    <xf numFmtId="180" fontId="67" fillId="11" borderId="41" xfId="0" applyNumberFormat="1" applyFont="1" applyFill="1" applyBorder="1" applyProtection="1"/>
    <xf numFmtId="0" fontId="4" fillId="6" borderId="0" xfId="0" applyFont="1" applyFill="1" applyAlignment="1" applyProtection="1">
      <alignment horizontal="left"/>
    </xf>
    <xf numFmtId="0" fontId="0" fillId="6" borderId="0" xfId="0" applyFont="1" applyFill="1" applyAlignment="1" applyProtection="1">
      <alignment horizontal="left" indent="3"/>
    </xf>
    <xf numFmtId="179" fontId="0" fillId="6" borderId="16" xfId="1" applyNumberFormat="1" applyFont="1" applyFill="1" applyBorder="1" applyAlignment="1" applyProtection="1"/>
    <xf numFmtId="179" fontId="0" fillId="0" borderId="16" xfId="1" applyNumberFormat="1" applyFont="1" applyFill="1" applyBorder="1" applyAlignment="1" applyProtection="1"/>
    <xf numFmtId="179" fontId="0" fillId="0" borderId="0" xfId="1" applyNumberFormat="1" applyFont="1" applyFill="1" applyBorder="1" applyAlignment="1" applyProtection="1"/>
    <xf numFmtId="180" fontId="67" fillId="0" borderId="16" xfId="1" applyNumberFormat="1" applyFont="1" applyFill="1" applyBorder="1" applyAlignment="1" applyProtection="1"/>
    <xf numFmtId="180" fontId="67" fillId="0" borderId="0" xfId="1" applyNumberFormat="1" applyFont="1" applyFill="1" applyBorder="1" applyAlignment="1" applyProtection="1"/>
    <xf numFmtId="0" fontId="0" fillId="6" borderId="0" xfId="0" applyFont="1" applyFill="1" applyAlignment="1" applyProtection="1"/>
    <xf numFmtId="0" fontId="0" fillId="14" borderId="0" xfId="0" applyFont="1" applyFill="1" applyAlignment="1" applyProtection="1">
      <alignment horizontal="center"/>
    </xf>
    <xf numFmtId="0" fontId="0" fillId="6" borderId="0" xfId="0" applyFont="1" applyFill="1" applyAlignment="1" applyProtection="1">
      <alignment horizontal="left" indent="2"/>
    </xf>
    <xf numFmtId="179" fontId="0" fillId="6" borderId="0" xfId="0" applyNumberFormat="1" applyFont="1" applyFill="1" applyProtection="1"/>
    <xf numFmtId="180" fontId="0" fillId="6" borderId="0" xfId="17" applyNumberFormat="1" applyFont="1" applyFill="1" applyProtection="1">
      <protection locked="0"/>
    </xf>
    <xf numFmtId="0" fontId="0" fillId="6" borderId="0" xfId="17" applyFont="1" applyFill="1" applyAlignment="1" applyProtection="1">
      <alignment horizontal="left"/>
      <protection locked="0"/>
    </xf>
    <xf numFmtId="179" fontId="3" fillId="6" borderId="0" xfId="0" applyNumberFormat="1" applyFont="1" applyFill="1" applyProtection="1"/>
    <xf numFmtId="180" fontId="3" fillId="6" borderId="0" xfId="17" applyNumberFormat="1" applyFont="1" applyFill="1" applyProtection="1">
      <protection locked="0"/>
    </xf>
    <xf numFmtId="0" fontId="3" fillId="6" borderId="0" xfId="0" applyFont="1" applyFill="1" applyAlignment="1" applyProtection="1">
      <alignment horizontal="left" wrapText="1" indent="2"/>
    </xf>
    <xf numFmtId="164" fontId="0" fillId="6" borderId="16" xfId="7" applyFont="1" applyFill="1" applyBorder="1" applyAlignment="1" applyProtection="1">
      <alignment horizontal="left"/>
      <protection locked="0"/>
    </xf>
    <xf numFmtId="180" fontId="67" fillId="6" borderId="16" xfId="1" applyNumberFormat="1" applyFont="1" applyFill="1" applyBorder="1" applyAlignment="1" applyProtection="1"/>
    <xf numFmtId="180" fontId="67" fillId="6" borderId="0" xfId="0" applyNumberFormat="1" applyFont="1" applyFill="1" applyProtection="1"/>
    <xf numFmtId="180" fontId="67" fillId="6" borderId="0" xfId="1" applyNumberFormat="1" applyFont="1" applyFill="1" applyBorder="1" applyAlignment="1" applyProtection="1"/>
    <xf numFmtId="0" fontId="62" fillId="0" borderId="0" xfId="0" applyFont="1" applyAlignment="1" applyProtection="1">
      <alignment horizontal="left"/>
    </xf>
    <xf numFmtId="0" fontId="62" fillId="0" borderId="0" xfId="0" applyFont="1" applyAlignment="1" applyProtection="1">
      <alignment horizontal="center"/>
    </xf>
    <xf numFmtId="164" fontId="3" fillId="6" borderId="0" xfId="1" applyFont="1" applyFill="1" applyBorder="1" applyAlignment="1" applyProtection="1"/>
    <xf numFmtId="0" fontId="3" fillId="6" borderId="0" xfId="0" applyFont="1" applyFill="1" applyAlignment="1" applyProtection="1">
      <alignment wrapText="1"/>
    </xf>
    <xf numFmtId="177" fontId="4" fillId="6" borderId="43" xfId="0" applyNumberFormat="1" applyFont="1" applyFill="1" applyBorder="1" applyProtection="1"/>
    <xf numFmtId="178" fontId="4" fillId="6" borderId="43" xfId="0" applyNumberFormat="1" applyFont="1" applyFill="1" applyBorder="1" applyProtection="1"/>
    <xf numFmtId="178" fontId="4" fillId="6" borderId="0" xfId="0" applyNumberFormat="1" applyFont="1" applyFill="1" applyProtection="1"/>
    <xf numFmtId="178" fontId="4" fillId="6" borderId="0" xfId="0" applyNumberFormat="1" applyFont="1" applyFill="1" applyBorder="1" applyProtection="1"/>
    <xf numFmtId="0" fontId="4" fillId="6" borderId="0" xfId="0" applyFont="1" applyFill="1" applyBorder="1" applyAlignment="1" applyProtection="1">
      <alignment horizontal="center"/>
    </xf>
    <xf numFmtId="180" fontId="4" fillId="6" borderId="0" xfId="0" applyNumberFormat="1" applyFont="1" applyFill="1" applyBorder="1" applyAlignment="1" applyProtection="1">
      <alignment horizontal="center"/>
    </xf>
    <xf numFmtId="180" fontId="4" fillId="0" borderId="0" xfId="0" applyNumberFormat="1" applyFont="1" applyFill="1" applyBorder="1" applyAlignment="1" applyProtection="1">
      <alignment horizontal="center"/>
    </xf>
    <xf numFmtId="180" fontId="4" fillId="6" borderId="16" xfId="0" applyNumberFormat="1" applyFont="1" applyFill="1" applyBorder="1" applyAlignment="1" applyProtection="1">
      <alignment horizontal="center"/>
    </xf>
    <xf numFmtId="180" fontId="4" fillId="0" borderId="16" xfId="0" applyNumberFormat="1" applyFont="1" applyFill="1" applyBorder="1" applyAlignment="1" applyProtection="1">
      <alignment horizontal="center"/>
    </xf>
    <xf numFmtId="0" fontId="71" fillId="0" borderId="0" xfId="0" applyFont="1" applyAlignment="1" applyProtection="1">
      <alignment horizontal="right"/>
    </xf>
    <xf numFmtId="179" fontId="57" fillId="6" borderId="3" xfId="0" applyNumberFormat="1" applyFont="1" applyFill="1" applyBorder="1" applyProtection="1"/>
    <xf numFmtId="179" fontId="57" fillId="6" borderId="0" xfId="0" applyNumberFormat="1" applyFont="1" applyFill="1" applyProtection="1"/>
    <xf numFmtId="180" fontId="57" fillId="6" borderId="3" xfId="0" applyNumberFormat="1" applyFont="1" applyFill="1" applyBorder="1" applyProtection="1"/>
    <xf numFmtId="180" fontId="57" fillId="6" borderId="0" xfId="0" applyNumberFormat="1" applyFont="1" applyFill="1" applyProtection="1"/>
    <xf numFmtId="180" fontId="57" fillId="10" borderId="3" xfId="0" applyNumberFormat="1" applyFont="1" applyFill="1" applyBorder="1" applyProtection="1"/>
    <xf numFmtId="180" fontId="57" fillId="6" borderId="0" xfId="0" applyNumberFormat="1" applyFont="1" applyFill="1" applyBorder="1" applyProtection="1"/>
    <xf numFmtId="179" fontId="57" fillId="6" borderId="0" xfId="1" applyNumberFormat="1" applyFont="1" applyFill="1" applyBorder="1" applyAlignment="1" applyProtection="1"/>
    <xf numFmtId="179" fontId="0" fillId="6" borderId="0" xfId="0" applyNumberFormat="1" applyFont="1" applyFill="1" applyAlignment="1" applyProtection="1">
      <alignment horizontal="left"/>
    </xf>
    <xf numFmtId="179" fontId="57" fillId="0" borderId="0" xfId="0" applyNumberFormat="1" applyFont="1" applyFill="1" applyProtection="1"/>
    <xf numFmtId="179" fontId="57" fillId="6" borderId="3" xfId="1" applyNumberFormat="1" applyFont="1" applyFill="1" applyBorder="1" applyAlignment="1" applyProtection="1"/>
    <xf numFmtId="180" fontId="57" fillId="6" borderId="3" xfId="1" applyNumberFormat="1" applyFont="1" applyFill="1" applyBorder="1" applyAlignment="1" applyProtection="1"/>
    <xf numFmtId="180" fontId="57" fillId="6" borderId="0" xfId="1" applyNumberFormat="1" applyFont="1" applyFill="1" applyBorder="1" applyAlignment="1" applyProtection="1"/>
    <xf numFmtId="180" fontId="57" fillId="10" borderId="3" xfId="1" applyNumberFormat="1" applyFont="1" applyFill="1" applyBorder="1" applyAlignment="1" applyProtection="1"/>
    <xf numFmtId="180" fontId="57" fillId="6" borderId="0" xfId="0" applyNumberFormat="1" applyFont="1" applyFill="1" applyAlignment="1" applyProtection="1">
      <alignment horizontal="center"/>
    </xf>
    <xf numFmtId="180" fontId="57" fillId="0" borderId="0" xfId="0" applyNumberFormat="1" applyFont="1" applyFill="1" applyAlignment="1" applyProtection="1">
      <alignment horizontal="center"/>
    </xf>
    <xf numFmtId="180" fontId="57" fillId="6" borderId="0" xfId="0" applyNumberFormat="1" applyFont="1" applyFill="1" applyBorder="1" applyAlignment="1" applyProtection="1">
      <alignment horizontal="center"/>
    </xf>
    <xf numFmtId="179" fontId="59" fillId="6" borderId="0" xfId="0" applyNumberFormat="1" applyFont="1" applyFill="1" applyProtection="1"/>
    <xf numFmtId="0" fontId="57" fillId="0" borderId="0" xfId="0" applyFont="1" applyAlignment="1" applyProtection="1">
      <alignment horizontal="right"/>
    </xf>
    <xf numFmtId="0" fontId="57" fillId="6" borderId="0" xfId="0" applyFont="1" applyFill="1" applyAlignment="1" applyProtection="1">
      <alignment horizontal="right"/>
    </xf>
    <xf numFmtId="177" fontId="62" fillId="6" borderId="0" xfId="0" applyNumberFormat="1" applyFont="1" applyFill="1" applyProtection="1"/>
    <xf numFmtId="164" fontId="71" fillId="6" borderId="0" xfId="1" applyFont="1" applyFill="1" applyBorder="1" applyAlignment="1" applyProtection="1"/>
    <xf numFmtId="180" fontId="71" fillId="6" borderId="0" xfId="0" applyNumberFormat="1" applyFont="1" applyFill="1" applyProtection="1"/>
    <xf numFmtId="0" fontId="71" fillId="6" borderId="0" xfId="0" applyFont="1" applyFill="1" applyProtection="1"/>
    <xf numFmtId="180" fontId="3" fillId="0" borderId="0" xfId="0" applyNumberFormat="1" applyFont="1" applyFill="1" applyProtection="1"/>
    <xf numFmtId="180" fontId="3" fillId="0" borderId="0" xfId="0" applyNumberFormat="1" applyFont="1" applyFill="1" applyAlignment="1" applyProtection="1"/>
    <xf numFmtId="180" fontId="11" fillId="6" borderId="0" xfId="0" applyNumberFormat="1" applyFont="1" applyFill="1" applyProtection="1"/>
    <xf numFmtId="180" fontId="3" fillId="19" borderId="0" xfId="0" applyNumberFormat="1" applyFont="1" applyFill="1" applyProtection="1"/>
    <xf numFmtId="180" fontId="11" fillId="6" borderId="16" xfId="0" applyNumberFormat="1" applyFont="1" applyFill="1" applyBorder="1" applyProtection="1"/>
    <xf numFmtId="180" fontId="3" fillId="19" borderId="16" xfId="0" applyNumberFormat="1" applyFont="1" applyFill="1" applyBorder="1" applyProtection="1"/>
    <xf numFmtId="180" fontId="3" fillId="6" borderId="16" xfId="0" applyNumberFormat="1" applyFont="1" applyFill="1" applyBorder="1" applyProtection="1"/>
    <xf numFmtId="181" fontId="3" fillId="6" borderId="16" xfId="0" applyNumberFormat="1" applyFont="1" applyFill="1" applyBorder="1" applyProtection="1"/>
    <xf numFmtId="182" fontId="3" fillId="6" borderId="0" xfId="0" applyNumberFormat="1" applyFont="1" applyFill="1" applyProtection="1"/>
    <xf numFmtId="0" fontId="3" fillId="5" borderId="0" xfId="0" applyNumberFormat="1" applyFont="1" applyFill="1" applyAlignment="1" applyProtection="1">
      <alignment horizontal="center"/>
    </xf>
    <xf numFmtId="184" fontId="3" fillId="0" borderId="0" xfId="0" applyNumberFormat="1" applyFont="1" applyFill="1" applyAlignment="1" applyProtection="1">
      <alignment horizontal="center"/>
    </xf>
    <xf numFmtId="167" fontId="57" fillId="0" borderId="0" xfId="0" applyNumberFormat="1" applyFont="1" applyFill="1" applyProtection="1"/>
    <xf numFmtId="0" fontId="0" fillId="0" borderId="0" xfId="0" applyFill="1" applyProtection="1"/>
    <xf numFmtId="0" fontId="63" fillId="0" borderId="0" xfId="0" applyFont="1" applyFill="1" applyAlignment="1" applyProtection="1">
      <alignment horizontal="center"/>
    </xf>
    <xf numFmtId="0" fontId="11" fillId="0" borderId="16" xfId="0" applyFont="1" applyFill="1" applyBorder="1" applyAlignment="1" applyProtection="1">
      <alignment horizontal="center"/>
    </xf>
    <xf numFmtId="0" fontId="11" fillId="0" borderId="16" xfId="0" applyFont="1" applyFill="1" applyBorder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34" fillId="11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64" fillId="0" borderId="0" xfId="0" applyFont="1" applyProtection="1"/>
    <xf numFmtId="0" fontId="11" fillId="0" borderId="0" xfId="0" applyFont="1" applyFill="1" applyProtection="1"/>
    <xf numFmtId="0" fontId="34" fillId="11" borderId="16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59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2"/>
    </xf>
    <xf numFmtId="177" fontId="3" fillId="0" borderId="0" xfId="2" applyNumberFormat="1" applyFont="1" applyFill="1" applyBorder="1" applyAlignment="1" applyProtection="1"/>
    <xf numFmtId="177" fontId="3" fillId="0" borderId="0" xfId="13" applyNumberFormat="1" applyFont="1" applyFill="1" applyBorder="1" applyAlignment="1" applyProtection="1">
      <protection locked="0"/>
    </xf>
    <xf numFmtId="171" fontId="3" fillId="17" borderId="0" xfId="2" applyNumberFormat="1" applyFont="1" applyFill="1" applyBorder="1" applyAlignment="1" applyProtection="1"/>
    <xf numFmtId="171" fontId="3" fillId="0" borderId="0" xfId="2" applyNumberFormat="1" applyFont="1" applyFill="1" applyBorder="1" applyAlignment="1" applyProtection="1"/>
    <xf numFmtId="171" fontId="3" fillId="0" borderId="0" xfId="13" applyNumberFormat="1" applyFont="1" applyFill="1" applyBorder="1" applyAlignment="1" applyProtection="1">
      <protection locked="0"/>
    </xf>
    <xf numFmtId="166" fontId="57" fillId="0" borderId="0" xfId="1" applyNumberFormat="1" applyFont="1" applyFill="1" applyBorder="1" applyAlignment="1" applyProtection="1"/>
    <xf numFmtId="0" fontId="3" fillId="0" borderId="16" xfId="17" applyFont="1" applyFill="1" applyBorder="1" applyAlignment="1" applyProtection="1">
      <alignment horizontal="left" indent="1"/>
      <protection locked="0"/>
    </xf>
    <xf numFmtId="179" fontId="3" fillId="0" borderId="0" xfId="2" applyNumberFormat="1" applyFont="1" applyFill="1" applyBorder="1" applyAlignment="1" applyProtection="1"/>
    <xf numFmtId="179" fontId="3" fillId="0" borderId="0" xfId="0" applyNumberFormat="1" applyFont="1" applyFill="1" applyBorder="1" applyAlignment="1" applyProtection="1">
      <alignment horizontal="left" indent="2"/>
    </xf>
    <xf numFmtId="179" fontId="3" fillId="0" borderId="0" xfId="0" applyNumberFormat="1" applyFont="1" applyFill="1" applyProtection="1"/>
    <xf numFmtId="179" fontId="3" fillId="0" borderId="0" xfId="13" applyNumberFormat="1" applyFont="1" applyFill="1" applyBorder="1" applyAlignment="1" applyProtection="1">
      <protection locked="0"/>
    </xf>
    <xf numFmtId="179" fontId="3" fillId="17" borderId="0" xfId="1" applyNumberFormat="1" applyFont="1" applyFill="1" applyBorder="1" applyAlignment="1" applyProtection="1"/>
    <xf numFmtId="164" fontId="3" fillId="0" borderId="0" xfId="4" applyFont="1" applyFill="1" applyBorder="1" applyAlignment="1" applyProtection="1">
      <alignment horizontal="left" indent="3"/>
    </xf>
    <xf numFmtId="0" fontId="11" fillId="0" borderId="0" xfId="0" applyFont="1" applyFill="1" applyBorder="1" applyAlignment="1" applyProtection="1">
      <alignment horizontal="left" indent="1"/>
    </xf>
    <xf numFmtId="0" fontId="65" fillId="0" borderId="0" xfId="0" applyFont="1" applyAlignment="1" applyProtection="1">
      <alignment horizontal="left" wrapText="1" indent="4"/>
    </xf>
    <xf numFmtId="177" fontId="3" fillId="0" borderId="39" xfId="2" applyNumberFormat="1" applyFont="1" applyFill="1" applyBorder="1" applyAlignment="1" applyProtection="1"/>
    <xf numFmtId="0" fontId="4" fillId="0" borderId="40" xfId="0" applyFont="1" applyFill="1" applyBorder="1" applyAlignment="1" applyProtection="1">
      <alignment horizontal="left" indent="1"/>
    </xf>
    <xf numFmtId="0" fontId="4" fillId="0" borderId="39" xfId="0" applyFont="1" applyFill="1" applyBorder="1" applyAlignment="1" applyProtection="1">
      <alignment horizontal="left" indent="2"/>
    </xf>
    <xf numFmtId="179" fontId="4" fillId="0" borderId="39" xfId="2" applyNumberFormat="1" applyFont="1" applyFill="1" applyBorder="1" applyAlignment="1" applyProtection="1"/>
    <xf numFmtId="179" fontId="4" fillId="0" borderId="39" xfId="0" applyNumberFormat="1" applyFont="1" applyFill="1" applyBorder="1" applyAlignment="1" applyProtection="1">
      <alignment horizontal="left" indent="2"/>
    </xf>
    <xf numFmtId="179" fontId="4" fillId="0" borderId="39" xfId="0" applyNumberFormat="1" applyFont="1" applyFill="1" applyBorder="1" applyProtection="1"/>
    <xf numFmtId="179" fontId="4" fillId="0" borderId="41" xfId="2" applyNumberFormat="1" applyFont="1" applyFill="1" applyBorder="1" applyAlignment="1" applyProtection="1"/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horizontal="left" indent="2"/>
    </xf>
    <xf numFmtId="164" fontId="3" fillId="0" borderId="0" xfId="1" applyFont="1" applyFill="1" applyBorder="1" applyAlignment="1" applyProtection="1"/>
    <xf numFmtId="166" fontId="3" fillId="0" borderId="0" xfId="7" applyNumberFormat="1" applyFont="1" applyFill="1" applyBorder="1" applyAlignment="1" applyProtection="1">
      <protection locked="0"/>
    </xf>
    <xf numFmtId="166" fontId="3" fillId="0" borderId="0" xfId="2" applyNumberFormat="1" applyFont="1" applyFill="1" applyBorder="1" applyAlignment="1" applyProtection="1"/>
    <xf numFmtId="0" fontId="69" fillId="0" borderId="0" xfId="0" applyFont="1" applyFill="1" applyBorder="1" applyAlignment="1" applyProtection="1">
      <alignment horizontal="left" indent="3"/>
    </xf>
    <xf numFmtId="179" fontId="11" fillId="0" borderId="39" xfId="0" applyNumberFormat="1" applyFont="1" applyFill="1" applyBorder="1" applyProtection="1"/>
    <xf numFmtId="0" fontId="69" fillId="0" borderId="0" xfId="0" applyFont="1" applyFill="1" applyBorder="1" applyAlignment="1" applyProtection="1">
      <alignment horizontal="left" indent="1"/>
    </xf>
    <xf numFmtId="0" fontId="55" fillId="0" borderId="0" xfId="0" applyFont="1" applyFill="1" applyBorder="1" applyAlignment="1" applyProtection="1">
      <alignment horizontal="left" indent="2"/>
    </xf>
    <xf numFmtId="164" fontId="3" fillId="0" borderId="0" xfId="4" applyFont="1" applyFill="1" applyBorder="1" applyAlignment="1" applyProtection="1">
      <alignment horizontal="left"/>
    </xf>
    <xf numFmtId="164" fontId="0" fillId="0" borderId="0" xfId="1" applyFont="1" applyFill="1" applyBorder="1" applyAlignment="1" applyProtection="1"/>
    <xf numFmtId="0" fontId="0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 indent="3"/>
    </xf>
    <xf numFmtId="0" fontId="11" fillId="0" borderId="0" xfId="0" applyFont="1" applyFill="1" applyBorder="1" applyProtection="1"/>
    <xf numFmtId="179" fontId="11" fillId="0" borderId="0" xfId="0" applyNumberFormat="1" applyFont="1" applyFill="1" applyBorder="1" applyProtection="1"/>
    <xf numFmtId="164" fontId="0" fillId="17" borderId="0" xfId="0" applyNumberFormat="1" applyFont="1" applyFill="1" applyProtection="1"/>
    <xf numFmtId="0" fontId="69" fillId="0" borderId="0" xfId="0" applyFont="1" applyFill="1" applyAlignment="1" applyProtection="1">
      <alignment horizontal="left" indent="1"/>
    </xf>
    <xf numFmtId="0" fontId="69" fillId="0" borderId="0" xfId="0" applyFont="1" applyFill="1" applyAlignment="1" applyProtection="1">
      <alignment horizontal="left" indent="3"/>
    </xf>
    <xf numFmtId="166" fontId="4" fillId="18" borderId="0" xfId="1" applyNumberFormat="1" applyFont="1" applyFill="1" applyBorder="1" applyAlignment="1" applyProtection="1"/>
    <xf numFmtId="0" fontId="69" fillId="0" borderId="0" xfId="0" applyFont="1" applyAlignment="1" applyProtection="1">
      <alignment horizontal="left" indent="1"/>
    </xf>
    <xf numFmtId="179" fontId="3" fillId="0" borderId="0" xfId="1" applyNumberFormat="1" applyFont="1" applyFill="1" applyBorder="1" applyAlignment="1" applyProtection="1"/>
    <xf numFmtId="179" fontId="3" fillId="0" borderId="0" xfId="7" applyNumberFormat="1" applyFont="1" applyFill="1" applyBorder="1" applyAlignment="1" applyProtection="1">
      <protection locked="0"/>
    </xf>
    <xf numFmtId="0" fontId="69" fillId="0" borderId="0" xfId="0" applyFont="1" applyAlignment="1" applyProtection="1">
      <alignment horizontal="left" indent="3"/>
    </xf>
    <xf numFmtId="0" fontId="55" fillId="0" borderId="0" xfId="0" applyFont="1" applyAlignment="1" applyProtection="1">
      <alignment horizontal="left" indent="3"/>
    </xf>
    <xf numFmtId="0" fontId="4" fillId="0" borderId="39" xfId="0" applyFont="1" applyFill="1" applyBorder="1" applyProtection="1"/>
    <xf numFmtId="0" fontId="3" fillId="0" borderId="0" xfId="0" applyFont="1" applyFill="1" applyAlignment="1" applyProtection="1">
      <alignment horizontal="left" indent="3"/>
    </xf>
    <xf numFmtId="179" fontId="3" fillId="0" borderId="16" xfId="1" applyNumberFormat="1" applyFont="1" applyFill="1" applyBorder="1" applyAlignment="1" applyProtection="1"/>
    <xf numFmtId="166" fontId="3" fillId="17" borderId="0" xfId="1" applyNumberFormat="1" applyFont="1" applyFill="1" applyBorder="1" applyAlignment="1" applyProtection="1"/>
    <xf numFmtId="179" fontId="3" fillId="17" borderId="0" xfId="2" applyNumberFormat="1" applyFont="1" applyFill="1" applyBorder="1" applyAlignment="1" applyProtection="1"/>
    <xf numFmtId="0" fontId="4" fillId="0" borderId="0" xfId="0" applyFont="1" applyProtection="1"/>
    <xf numFmtId="179" fontId="3" fillId="0" borderId="0" xfId="17" applyNumberFormat="1" applyFont="1" applyFill="1" applyProtection="1">
      <protection locked="0"/>
    </xf>
    <xf numFmtId="179" fontId="3" fillId="0" borderId="0" xfId="0" applyNumberFormat="1" applyFont="1" applyFill="1" applyBorder="1" applyProtection="1"/>
    <xf numFmtId="0" fontId="3" fillId="0" borderId="0" xfId="17" applyFont="1" applyFill="1" applyAlignment="1" applyProtection="1">
      <alignment horizontal="left" indent="3"/>
      <protection locked="0"/>
    </xf>
    <xf numFmtId="0" fontId="3" fillId="0" borderId="0" xfId="0" applyFont="1" applyFill="1" applyAlignment="1" applyProtection="1">
      <alignment horizontal="left" wrapText="1" indent="2"/>
    </xf>
    <xf numFmtId="164" fontId="3" fillId="0" borderId="16" xfId="7" applyFont="1" applyFill="1" applyBorder="1" applyAlignment="1" applyProtection="1">
      <alignment horizontal="left" indent="3"/>
      <protection locked="0"/>
    </xf>
    <xf numFmtId="0" fontId="4" fillId="0" borderId="40" xfId="0" applyFont="1" applyBorder="1" applyAlignment="1" applyProtection="1">
      <alignment horizontal="left" indent="1"/>
    </xf>
    <xf numFmtId="0" fontId="3" fillId="0" borderId="0" xfId="0" applyFont="1" applyAlignment="1" applyProtection="1">
      <alignment horizontal="left" indent="2"/>
    </xf>
    <xf numFmtId="0" fontId="3" fillId="17" borderId="0" xfId="0" applyFont="1" applyFill="1" applyProtection="1"/>
    <xf numFmtId="164" fontId="3" fillId="17" borderId="0" xfId="1" applyFont="1" applyFill="1" applyBorder="1" applyAlignment="1" applyProtection="1"/>
    <xf numFmtId="0" fontId="0" fillId="17" borderId="0" xfId="0" applyFont="1" applyFill="1" applyAlignment="1" applyProtection="1"/>
    <xf numFmtId="166" fontId="3" fillId="17" borderId="0" xfId="0" applyNumberFormat="1" applyFont="1" applyFill="1" applyProtection="1"/>
    <xf numFmtId="0" fontId="3" fillId="17" borderId="0" xfId="0" applyFont="1" applyFill="1" applyAlignment="1" applyProtection="1">
      <alignment wrapText="1"/>
    </xf>
    <xf numFmtId="0" fontId="4" fillId="0" borderId="0" xfId="0" applyFont="1" applyBorder="1" applyAlignment="1" applyProtection="1">
      <alignment horizontal="left"/>
    </xf>
    <xf numFmtId="177" fontId="4" fillId="0" borderId="43" xfId="0" applyNumberFormat="1" applyFont="1" applyFill="1" applyBorder="1" applyProtection="1"/>
    <xf numFmtId="177" fontId="4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179" fontId="57" fillId="10" borderId="3" xfId="0" applyNumberFormat="1" applyFont="1" applyFill="1" applyBorder="1" applyProtection="1"/>
    <xf numFmtId="179" fontId="57" fillId="0" borderId="0" xfId="0" applyNumberFormat="1" applyFont="1" applyFill="1" applyBorder="1" applyProtection="1"/>
    <xf numFmtId="179" fontId="57" fillId="0" borderId="0" xfId="1" applyNumberFormat="1" applyFont="1" applyFill="1" applyBorder="1" applyAlignment="1" applyProtection="1"/>
    <xf numFmtId="179" fontId="3" fillId="0" borderId="0" xfId="0" applyNumberFormat="1" applyFont="1" applyFill="1" applyAlignment="1" applyProtection="1">
      <alignment horizontal="left" indent="3"/>
    </xf>
    <xf numFmtId="179" fontId="57" fillId="10" borderId="3" xfId="1" applyNumberFormat="1" applyFont="1" applyFill="1" applyBorder="1" applyAlignment="1" applyProtection="1"/>
    <xf numFmtId="0" fontId="57" fillId="0" borderId="0" xfId="0" applyFont="1" applyFill="1" applyBorder="1" applyAlignment="1" applyProtection="1">
      <alignment horizontal="center"/>
    </xf>
    <xf numFmtId="179" fontId="57" fillId="13" borderId="0" xfId="0" applyNumberFormat="1" applyFont="1" applyFill="1" applyProtection="1"/>
    <xf numFmtId="179" fontId="59" fillId="13" borderId="0" xfId="0" applyNumberFormat="1" applyFont="1" applyFill="1" applyProtection="1"/>
    <xf numFmtId="179" fontId="57" fillId="5" borderId="3" xfId="0" applyNumberFormat="1" applyFont="1" applyFill="1" applyBorder="1" applyProtection="1"/>
    <xf numFmtId="0" fontId="3" fillId="0" borderId="0" xfId="0" applyFont="1" applyFill="1" applyAlignment="1" applyProtection="1">
      <alignment horizontal="left" indent="1"/>
    </xf>
    <xf numFmtId="177" fontId="62" fillId="10" borderId="0" xfId="0" applyNumberFormat="1" applyFont="1" applyFill="1" applyProtection="1"/>
    <xf numFmtId="164" fontId="71" fillId="0" borderId="0" xfId="1" applyFont="1" applyFill="1" applyBorder="1" applyAlignment="1" applyProtection="1"/>
    <xf numFmtId="164" fontId="71" fillId="0" borderId="0" xfId="0" applyNumberFormat="1" applyFont="1" applyProtection="1"/>
    <xf numFmtId="0" fontId="71" fillId="0" borderId="0" xfId="0" applyFont="1" applyProtection="1"/>
    <xf numFmtId="0" fontId="0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/>
    <xf numFmtId="0" fontId="0" fillId="0" borderId="0" xfId="0" applyFont="1" applyAlignment="1"/>
    <xf numFmtId="0" fontId="49" fillId="0" borderId="0" xfId="0" applyFont="1"/>
    <xf numFmtId="0" fontId="47" fillId="6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49" fillId="6" borderId="0" xfId="0" applyFont="1" applyFill="1" applyAlignment="1">
      <alignment horizontal="center"/>
    </xf>
    <xf numFmtId="0" fontId="49" fillId="0" borderId="0" xfId="0" applyFont="1" applyAlignment="1">
      <alignment horizontal="center"/>
    </xf>
    <xf numFmtId="0" fontId="0" fillId="6" borderId="0" xfId="0" applyFont="1" applyFill="1" applyAlignment="1">
      <alignment horizontal="center"/>
    </xf>
    <xf numFmtId="49" fontId="0" fillId="6" borderId="0" xfId="0" applyNumberFormat="1" applyFont="1" applyFill="1"/>
    <xf numFmtId="49" fontId="0" fillId="6" borderId="0" xfId="0" applyNumberFormat="1" applyFont="1" applyFill="1" applyAlignment="1"/>
    <xf numFmtId="49" fontId="0" fillId="0" borderId="0" xfId="0" applyNumberFormat="1" applyFont="1"/>
    <xf numFmtId="180" fontId="11" fillId="6" borderId="16" xfId="0" applyNumberFormat="1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180" fontId="39" fillId="6" borderId="0" xfId="0" applyNumberFormat="1" applyFont="1" applyFill="1" applyAlignment="1">
      <alignment horizontal="center"/>
    </xf>
    <xf numFmtId="0" fontId="72" fillId="6" borderId="0" xfId="0" applyFont="1" applyFill="1" applyAlignment="1"/>
    <xf numFmtId="180" fontId="72" fillId="6" borderId="0" xfId="0" applyNumberFormat="1" applyFont="1" applyFill="1" applyAlignment="1"/>
    <xf numFmtId="0" fontId="11" fillId="6" borderId="0" xfId="0" applyFont="1" applyFill="1"/>
    <xf numFmtId="49" fontId="3" fillId="6" borderId="0" xfId="0" applyNumberFormat="1" applyFont="1" applyFill="1"/>
    <xf numFmtId="49" fontId="3" fillId="6" borderId="0" xfId="0" applyNumberFormat="1" applyFont="1" applyFill="1" applyAlignment="1"/>
    <xf numFmtId="49" fontId="3" fillId="0" borderId="0" xfId="0" applyNumberFormat="1" applyFont="1"/>
    <xf numFmtId="0" fontId="39" fillId="0" borderId="0" xfId="0" applyFont="1" applyAlignment="1">
      <alignment horizontal="center"/>
    </xf>
    <xf numFmtId="0" fontId="3" fillId="6" borderId="0" xfId="0" applyFont="1" applyFill="1" applyAlignment="1">
      <alignment horizontal="left" indent="1"/>
    </xf>
    <xf numFmtId="185" fontId="3" fillId="6" borderId="0" xfId="1" applyNumberFormat="1" applyFont="1" applyFill="1" applyBorder="1" applyAlignment="1" applyProtection="1"/>
    <xf numFmtId="178" fontId="3" fillId="6" borderId="0" xfId="1" applyNumberFormat="1" applyFont="1" applyFill="1" applyBorder="1" applyAlignment="1" applyProtection="1"/>
    <xf numFmtId="49" fontId="0" fillId="6" borderId="16" xfId="0" applyNumberFormat="1" applyFont="1" applyFill="1" applyBorder="1" applyAlignment="1"/>
    <xf numFmtId="178" fontId="3" fillId="0" borderId="0" xfId="0" applyNumberFormat="1" applyFont="1"/>
    <xf numFmtId="178" fontId="74" fillId="0" borderId="0" xfId="0" applyNumberFormat="1" applyFont="1"/>
    <xf numFmtId="180" fontId="74" fillId="0" borderId="0" xfId="0" applyNumberFormat="1" applyFont="1"/>
    <xf numFmtId="180" fontId="3" fillId="0" borderId="0" xfId="0" applyNumberFormat="1" applyFont="1"/>
    <xf numFmtId="0" fontId="11" fillId="6" borderId="40" xfId="0" applyFont="1" applyFill="1" applyBorder="1" applyAlignment="1"/>
    <xf numFmtId="0" fontId="3" fillId="6" borderId="39" xfId="0" applyFont="1" applyFill="1" applyBorder="1"/>
    <xf numFmtId="185" fontId="11" fillId="6" borderId="39" xfId="1" applyNumberFormat="1" applyFont="1" applyFill="1" applyBorder="1" applyAlignment="1" applyProtection="1"/>
    <xf numFmtId="185" fontId="3" fillId="6" borderId="39" xfId="1" applyNumberFormat="1" applyFont="1" applyFill="1" applyBorder="1" applyAlignment="1" applyProtection="1"/>
    <xf numFmtId="180" fontId="11" fillId="6" borderId="41" xfId="1" applyNumberFormat="1" applyFont="1" applyFill="1" applyBorder="1" applyAlignment="1" applyProtection="1"/>
    <xf numFmtId="49" fontId="0" fillId="6" borderId="0" xfId="0" applyNumberFormat="1" applyFont="1" applyFill="1" applyBorder="1" applyAlignment="1"/>
    <xf numFmtId="180" fontId="11" fillId="0" borderId="0" xfId="0" applyNumberFormat="1" applyFont="1"/>
    <xf numFmtId="0" fontId="11" fillId="6" borderId="0" xfId="0" applyFont="1" applyFill="1" applyAlignment="1"/>
    <xf numFmtId="185" fontId="11" fillId="6" borderId="0" xfId="1" applyNumberFormat="1" applyFont="1" applyFill="1" applyBorder="1" applyAlignment="1" applyProtection="1"/>
    <xf numFmtId="180" fontId="11" fillId="6" borderId="0" xfId="1" applyNumberFormat="1" applyFont="1" applyFill="1" applyBorder="1" applyAlignment="1" applyProtection="1"/>
    <xf numFmtId="179" fontId="39" fillId="6" borderId="0" xfId="0" applyNumberFormat="1" applyFont="1" applyFill="1" applyAlignment="1">
      <alignment horizontal="left"/>
    </xf>
    <xf numFmtId="180" fontId="39" fillId="6" borderId="0" xfId="0" applyNumberFormat="1" applyFont="1" applyFill="1" applyAlignment="1">
      <alignment horizontal="left"/>
    </xf>
    <xf numFmtId="179" fontId="69" fillId="6" borderId="0" xfId="0" applyNumberFormat="1" applyFont="1" applyFill="1" applyAlignment="1">
      <alignment horizontal="left" indent="1"/>
    </xf>
    <xf numFmtId="179" fontId="3" fillId="6" borderId="0" xfId="0" applyNumberFormat="1" applyFont="1" applyFill="1"/>
    <xf numFmtId="179" fontId="3" fillId="6" borderId="0" xfId="0" applyNumberFormat="1" applyFont="1" applyFill="1" applyBorder="1" applyAlignment="1">
      <alignment horizontal="left" indent="3"/>
    </xf>
    <xf numFmtId="179" fontId="3" fillId="6" borderId="0" xfId="0" applyNumberFormat="1" applyFont="1" applyFill="1" applyBorder="1" applyAlignment="1">
      <alignment horizontal="left" indent="2"/>
    </xf>
    <xf numFmtId="179" fontId="3" fillId="6" borderId="0" xfId="1" applyNumberFormat="1" applyFont="1" applyFill="1" applyBorder="1" applyAlignment="1" applyProtection="1">
      <alignment horizontal="right"/>
    </xf>
    <xf numFmtId="180" fontId="3" fillId="6" borderId="39" xfId="1" applyNumberFormat="1" applyFont="1" applyFill="1" applyBorder="1" applyAlignment="1" applyProtection="1"/>
    <xf numFmtId="179" fontId="3" fillId="6" borderId="0" xfId="0" applyNumberFormat="1" applyFont="1" applyFill="1" applyAlignment="1">
      <alignment horizontal="left" indent="3"/>
    </xf>
    <xf numFmtId="179" fontId="3" fillId="6" borderId="0" xfId="0" applyNumberFormat="1" applyFont="1" applyFill="1" applyAlignment="1">
      <alignment horizontal="left" indent="2"/>
    </xf>
    <xf numFmtId="179" fontId="3" fillId="6" borderId="0" xfId="0" applyNumberFormat="1" applyFont="1" applyFill="1" applyBorder="1"/>
    <xf numFmtId="49" fontId="75" fillId="6" borderId="0" xfId="0" applyNumberFormat="1" applyFont="1" applyFill="1"/>
    <xf numFmtId="49" fontId="11" fillId="6" borderId="16" xfId="0" applyNumberFormat="1" applyFont="1" applyFill="1" applyBorder="1" applyAlignment="1"/>
    <xf numFmtId="49" fontId="11" fillId="0" borderId="0" xfId="0" applyNumberFormat="1" applyFont="1"/>
    <xf numFmtId="179" fontId="3" fillId="0" borderId="0" xfId="0" applyNumberFormat="1" applyFont="1"/>
    <xf numFmtId="180" fontId="3" fillId="0" borderId="0" xfId="1" applyNumberFormat="1" applyFont="1" applyFill="1" applyBorder="1" applyAlignment="1" applyProtection="1"/>
    <xf numFmtId="49" fontId="3" fillId="6" borderId="0" xfId="0" applyNumberFormat="1" applyFont="1" applyFill="1" applyBorder="1" applyAlignment="1"/>
    <xf numFmtId="179" fontId="76" fillId="6" borderId="0" xfId="0" applyNumberFormat="1" applyFont="1" applyFill="1" applyBorder="1"/>
    <xf numFmtId="179" fontId="11" fillId="6" borderId="40" xfId="0" applyNumberFormat="1" applyFont="1" applyFill="1" applyBorder="1" applyAlignment="1"/>
    <xf numFmtId="179" fontId="3" fillId="6" borderId="39" xfId="0" applyNumberFormat="1" applyFont="1" applyFill="1" applyBorder="1"/>
    <xf numFmtId="179" fontId="69" fillId="6" borderId="39" xfId="1" applyNumberFormat="1" applyFont="1" applyFill="1" applyBorder="1" applyAlignment="1" applyProtection="1"/>
    <xf numFmtId="0" fontId="76" fillId="6" borderId="0" xfId="0" applyFont="1" applyFill="1" applyAlignment="1">
      <alignment horizontal="left" indent="5"/>
    </xf>
    <xf numFmtId="0" fontId="11" fillId="6" borderId="0" xfId="0" applyFont="1" applyFill="1" applyAlignment="1">
      <alignment vertical="center"/>
    </xf>
    <xf numFmtId="178" fontId="61" fillId="6" borderId="38" xfId="1" applyNumberFormat="1" applyFont="1" applyFill="1" applyBorder="1" applyAlignment="1" applyProtection="1">
      <alignment vertical="center"/>
    </xf>
    <xf numFmtId="49" fontId="11" fillId="6" borderId="0" xfId="0" applyNumberFormat="1" applyFont="1" applyFill="1" applyBorder="1" applyAlignment="1"/>
    <xf numFmtId="178" fontId="11" fillId="0" borderId="0" xfId="0" applyNumberFormat="1" applyFont="1"/>
    <xf numFmtId="0" fontId="11" fillId="0" borderId="0" xfId="0" applyFont="1"/>
    <xf numFmtId="0" fontId="3" fillId="6" borderId="0" xfId="0" applyFont="1" applyFill="1" applyBorder="1"/>
    <xf numFmtId="0" fontId="39" fillId="6" borderId="0" xfId="0" applyFont="1" applyFill="1" applyAlignment="1">
      <alignment horizontal="left"/>
    </xf>
    <xf numFmtId="0" fontId="77" fillId="0" borderId="0" xfId="0" applyFont="1"/>
    <xf numFmtId="0" fontId="47" fillId="6" borderId="0" xfId="0" applyFont="1" applyFill="1" applyAlignment="1" applyProtection="1">
      <alignment horizontal="center"/>
    </xf>
    <xf numFmtId="0" fontId="78" fillId="6" borderId="0" xfId="0" applyFont="1" applyFill="1" applyAlignment="1" applyProtection="1">
      <alignment horizontal="center"/>
    </xf>
    <xf numFmtId="0" fontId="34" fillId="11" borderId="0" xfId="0" applyFont="1" applyFill="1" applyAlignment="1" applyProtection="1">
      <alignment horizontal="center"/>
    </xf>
    <xf numFmtId="177" fontId="0" fillId="0" borderId="0" xfId="2" applyNumberFormat="1" applyFont="1" applyFill="1" applyBorder="1" applyAlignment="1" applyProtection="1"/>
    <xf numFmtId="0" fontId="4" fillId="8" borderId="0" xfId="0" applyFont="1" applyFill="1" applyProtection="1"/>
    <xf numFmtId="180" fontId="3" fillId="0" borderId="16" xfId="1" applyNumberFormat="1" applyFont="1" applyFill="1" applyBorder="1" applyAlignment="1" applyProtection="1"/>
    <xf numFmtId="179" fontId="4" fillId="6" borderId="16" xfId="1" applyNumberFormat="1" applyFont="1" applyFill="1" applyBorder="1" applyAlignment="1" applyProtection="1"/>
    <xf numFmtId="180" fontId="4" fillId="6" borderId="0" xfId="0" applyNumberFormat="1" applyFont="1" applyFill="1" applyProtection="1"/>
    <xf numFmtId="180" fontId="4" fillId="6" borderId="16" xfId="1" applyNumberFormat="1" applyFont="1" applyFill="1" applyBorder="1" applyAlignment="1" applyProtection="1"/>
    <xf numFmtId="0" fontId="3" fillId="6" borderId="0" xfId="0" applyFont="1" applyFill="1" applyAlignment="1" applyProtection="1">
      <alignment horizontal="left"/>
    </xf>
    <xf numFmtId="179" fontId="57" fillId="6" borderId="0" xfId="0" applyNumberFormat="1" applyFont="1" applyFill="1" applyBorder="1" applyProtection="1"/>
    <xf numFmtId="0" fontId="57" fillId="6" borderId="0" xfId="0" applyFont="1" applyFill="1" applyBorder="1" applyAlignment="1" applyProtection="1">
      <alignment horizontal="center"/>
    </xf>
    <xf numFmtId="164" fontId="71" fillId="6" borderId="0" xfId="0" applyNumberFormat="1" applyFont="1" applyFill="1" applyProtection="1"/>
    <xf numFmtId="0" fontId="0" fillId="0" borderId="0" xfId="26" applyFont="1" applyFill="1" applyBorder="1" applyAlignment="1">
      <alignment horizontal="center"/>
    </xf>
    <xf numFmtId="0" fontId="0" fillId="0" borderId="0" xfId="26" applyFont="1" applyFill="1" applyAlignment="1">
      <alignment horizontal="center"/>
    </xf>
    <xf numFmtId="0" fontId="0" fillId="0" borderId="0" xfId="26" applyFont="1" applyFill="1" applyAlignment="1"/>
    <xf numFmtId="0" fontId="79" fillId="0" borderId="0" xfId="26" applyFont="1" applyFill="1" applyBorder="1" applyAlignment="1">
      <alignment horizontal="center"/>
    </xf>
    <xf numFmtId="0" fontId="72" fillId="0" borderId="0" xfId="26" applyFont="1" applyFill="1" applyBorder="1" applyAlignment="1">
      <alignment horizontal="center"/>
    </xf>
    <xf numFmtId="0" fontId="79" fillId="6" borderId="0" xfId="26" applyFont="1" applyFill="1" applyBorder="1" applyAlignment="1">
      <alignment horizontal="center"/>
    </xf>
    <xf numFmtId="0" fontId="4" fillId="6" borderId="2" xfId="28" applyFont="1" applyFill="1" applyBorder="1" applyAlignment="1">
      <alignment horizontal="center"/>
    </xf>
    <xf numFmtId="0" fontId="4" fillId="6" borderId="35" xfId="28" applyFont="1" applyFill="1" applyBorder="1" applyAlignment="1">
      <alignment horizontal="center"/>
    </xf>
    <xf numFmtId="186" fontId="4" fillId="6" borderId="35" xfId="28" applyNumberFormat="1" applyFont="1" applyFill="1" applyBorder="1" applyAlignment="1">
      <alignment horizontal="center"/>
    </xf>
    <xf numFmtId="187" fontId="4" fillId="6" borderId="35" xfId="30" applyNumberFormat="1" applyFont="1" applyFill="1" applyBorder="1" applyAlignment="1" applyProtection="1">
      <alignment horizontal="center"/>
    </xf>
    <xf numFmtId="186" fontId="0" fillId="6" borderId="35" xfId="28" applyNumberFormat="1" applyFont="1" applyFill="1" applyBorder="1" applyAlignment="1">
      <alignment horizontal="center"/>
    </xf>
    <xf numFmtId="186" fontId="4" fillId="6" borderId="44" xfId="28" applyNumberFormat="1" applyFont="1" applyFill="1" applyBorder="1" applyAlignment="1">
      <alignment horizontal="center"/>
    </xf>
    <xf numFmtId="0" fontId="4" fillId="0" borderId="0" xfId="26" applyFont="1" applyFill="1" applyBorder="1" applyAlignment="1">
      <alignment horizontal="center"/>
    </xf>
    <xf numFmtId="0" fontId="4" fillId="6" borderId="8" xfId="28" applyFont="1" applyFill="1" applyBorder="1" applyAlignment="1">
      <alignment horizontal="center"/>
    </xf>
    <xf numFmtId="0" fontId="4" fillId="6" borderId="16" xfId="28" applyFont="1" applyFill="1" applyBorder="1" applyAlignment="1">
      <alignment horizontal="center"/>
    </xf>
    <xf numFmtId="186" fontId="4" fillId="6" borderId="16" xfId="28" applyNumberFormat="1" applyFont="1" applyFill="1" applyBorder="1" applyAlignment="1">
      <alignment horizontal="center"/>
    </xf>
    <xf numFmtId="187" fontId="4" fillId="6" borderId="16" xfId="30" applyNumberFormat="1" applyFont="1" applyFill="1" applyBorder="1" applyAlignment="1" applyProtection="1">
      <alignment horizontal="center"/>
    </xf>
    <xf numFmtId="186" fontId="4" fillId="6" borderId="9" xfId="28" applyNumberFormat="1" applyFont="1" applyFill="1" applyBorder="1" applyAlignment="1">
      <alignment horizontal="center"/>
    </xf>
    <xf numFmtId="0" fontId="4" fillId="0" borderId="0" xfId="26" applyFont="1" applyFill="1" applyAlignment="1">
      <alignment horizontal="center"/>
    </xf>
    <xf numFmtId="0" fontId="0" fillId="6" borderId="0" xfId="0" applyFont="1" applyFill="1" applyBorder="1" applyAlignment="1">
      <alignment horizontal="center" wrapText="1"/>
    </xf>
    <xf numFmtId="167" fontId="0" fillId="6" borderId="0" xfId="0" applyNumberFormat="1" applyFont="1" applyFill="1" applyAlignment="1">
      <alignment horizontal="center" wrapText="1"/>
    </xf>
    <xf numFmtId="188" fontId="0" fillId="6" borderId="0" xfId="0" applyNumberFormat="1" applyFont="1" applyFill="1" applyAlignment="1">
      <alignment horizontal="center" wrapText="1"/>
    </xf>
    <xf numFmtId="187" fontId="0" fillId="6" borderId="0" xfId="0" applyNumberFormat="1" applyFont="1" applyFill="1" applyAlignment="1">
      <alignment horizontal="center" wrapText="1"/>
    </xf>
    <xf numFmtId="188" fontId="0" fillId="6" borderId="0" xfId="2" applyNumberFormat="1" applyFont="1" applyFill="1" applyBorder="1" applyAlignment="1" applyProtection="1">
      <alignment horizontal="center" wrapText="1"/>
    </xf>
    <xf numFmtId="167" fontId="0" fillId="6" borderId="17" xfId="0" applyNumberFormat="1" applyFont="1" applyFill="1" applyBorder="1" applyAlignment="1">
      <alignment horizontal="center" wrapText="1"/>
    </xf>
    <xf numFmtId="188" fontId="0" fillId="6" borderId="18" xfId="0" applyNumberFormat="1" applyFont="1" applyFill="1" applyBorder="1" applyAlignment="1">
      <alignment horizontal="center" wrapText="1"/>
    </xf>
    <xf numFmtId="0" fontId="0" fillId="6" borderId="18" xfId="0" applyFont="1" applyFill="1" applyBorder="1" applyAlignment="1">
      <alignment horizontal="center" wrapText="1"/>
    </xf>
    <xf numFmtId="188" fontId="0" fillId="6" borderId="18" xfId="2" applyNumberFormat="1" applyFont="1" applyFill="1" applyBorder="1" applyAlignment="1" applyProtection="1">
      <alignment horizontal="center" wrapText="1"/>
    </xf>
    <xf numFmtId="188" fontId="0" fillId="6" borderId="19" xfId="2" applyNumberFormat="1" applyFont="1" applyFill="1" applyBorder="1" applyAlignment="1" applyProtection="1">
      <alignment horizontal="center" wrapText="1"/>
    </xf>
    <xf numFmtId="167" fontId="0" fillId="6" borderId="26" xfId="0" applyNumberFormat="1" applyFont="1" applyFill="1" applyBorder="1" applyAlignment="1">
      <alignment horizontal="center" wrapText="1"/>
    </xf>
    <xf numFmtId="188" fontId="0" fillId="6" borderId="27" xfId="0" applyNumberFormat="1" applyFont="1" applyFill="1" applyBorder="1" applyAlignment="1">
      <alignment horizontal="center" wrapText="1"/>
    </xf>
    <xf numFmtId="187" fontId="0" fillId="6" borderId="27" xfId="0" applyNumberFormat="1" applyFont="1" applyFill="1" applyBorder="1" applyAlignment="1">
      <alignment horizontal="center" wrapText="1"/>
    </xf>
    <xf numFmtId="188" fontId="0" fillId="6" borderId="27" xfId="2" applyNumberFormat="1" applyFont="1" applyFill="1" applyBorder="1" applyAlignment="1" applyProtection="1">
      <alignment horizontal="center" wrapText="1"/>
    </xf>
    <xf numFmtId="188" fontId="0" fillId="6" borderId="37" xfId="2" applyNumberFormat="1" applyFont="1" applyFill="1" applyBorder="1" applyAlignment="1" applyProtection="1">
      <alignment horizontal="center" wrapText="1"/>
    </xf>
    <xf numFmtId="0" fontId="0" fillId="6" borderId="0" xfId="0" applyFont="1" applyFill="1" applyAlignment="1">
      <alignment horizontal="center" wrapText="1"/>
    </xf>
    <xf numFmtId="167" fontId="0" fillId="6" borderId="16" xfId="0" applyNumberFormat="1" applyFont="1" applyFill="1" applyBorder="1" applyAlignment="1">
      <alignment horizontal="center" wrapText="1"/>
    </xf>
    <xf numFmtId="188" fontId="0" fillId="6" borderId="16" xfId="0" applyNumberFormat="1" applyFont="1" applyFill="1" applyBorder="1" applyAlignment="1">
      <alignment horizontal="center" wrapText="1"/>
    </xf>
    <xf numFmtId="0" fontId="0" fillId="6" borderId="16" xfId="0" applyFont="1" applyFill="1" applyBorder="1" applyAlignment="1">
      <alignment horizontal="center" wrapText="1"/>
    </xf>
    <xf numFmtId="188" fontId="0" fillId="6" borderId="16" xfId="2" applyNumberFormat="1" applyFont="1" applyFill="1" applyBorder="1" applyAlignment="1" applyProtection="1">
      <alignment horizontal="center" wrapText="1"/>
    </xf>
    <xf numFmtId="0" fontId="0" fillId="6" borderId="38" xfId="0" applyFont="1" applyFill="1" applyBorder="1" applyAlignment="1">
      <alignment horizontal="left" wrapText="1"/>
    </xf>
    <xf numFmtId="188" fontId="0" fillId="6" borderId="38" xfId="0" applyNumberFormat="1" applyFont="1" applyFill="1" applyBorder="1" applyAlignment="1">
      <alignment horizontal="center" wrapText="1"/>
    </xf>
    <xf numFmtId="0" fontId="0" fillId="6" borderId="38" xfId="0" applyFont="1" applyFill="1" applyBorder="1" applyAlignment="1">
      <alignment horizontal="center" wrapText="1"/>
    </xf>
    <xf numFmtId="0" fontId="0" fillId="6" borderId="0" xfId="0" applyFill="1" applyProtection="1"/>
    <xf numFmtId="0" fontId="0" fillId="6" borderId="0" xfId="0" applyFill="1" applyAlignment="1" applyProtection="1"/>
    <xf numFmtId="0" fontId="57" fillId="6" borderId="0" xfId="0" applyFont="1" applyFill="1" applyAlignment="1" applyProtection="1"/>
    <xf numFmtId="0" fontId="59" fillId="6" borderId="0" xfId="0" applyFont="1" applyFill="1" applyBorder="1" applyAlignment="1" applyProtection="1">
      <alignment horizontal="center"/>
    </xf>
    <xf numFmtId="0" fontId="3" fillId="6" borderId="16" xfId="17" applyFont="1" applyFill="1" applyBorder="1" applyAlignment="1" applyProtection="1">
      <alignment horizontal="left"/>
      <protection locked="0"/>
    </xf>
    <xf numFmtId="164" fontId="3" fillId="6" borderId="0" xfId="4" applyFont="1" applyFill="1" applyBorder="1" applyAlignment="1" applyProtection="1">
      <alignment horizontal="left"/>
    </xf>
    <xf numFmtId="179" fontId="0" fillId="0" borderId="0" xfId="0" applyNumberFormat="1" applyFont="1" applyFill="1" applyProtection="1"/>
    <xf numFmtId="164" fontId="0" fillId="6" borderId="0" xfId="0" applyNumberFormat="1" applyFont="1" applyFill="1" applyAlignment="1" applyProtection="1"/>
    <xf numFmtId="164" fontId="0" fillId="0" borderId="0" xfId="0" applyNumberFormat="1" applyFont="1" applyFill="1" applyProtection="1"/>
    <xf numFmtId="0" fontId="3" fillId="6" borderId="0" xfId="17" applyFont="1" applyFill="1" applyBorder="1" applyAlignment="1" applyProtection="1">
      <alignment horizontal="left"/>
      <protection locked="0"/>
    </xf>
    <xf numFmtId="0" fontId="3" fillId="6" borderId="0" xfId="0" applyFont="1" applyFill="1" applyAlignment="1" applyProtection="1">
      <alignment horizontal="left" indent="3"/>
    </xf>
    <xf numFmtId="179" fontId="3" fillId="6" borderId="16" xfId="1" applyNumberFormat="1" applyFont="1" applyFill="1" applyBorder="1" applyAlignment="1" applyProtection="1"/>
    <xf numFmtId="0" fontId="3" fillId="6" borderId="0" xfId="17" applyFont="1" applyFill="1" applyAlignment="1" applyProtection="1">
      <alignment horizontal="left"/>
      <protection locked="0"/>
    </xf>
    <xf numFmtId="164" fontId="3" fillId="6" borderId="16" xfId="7" applyFont="1" applyFill="1" applyBorder="1" applyAlignment="1" applyProtection="1">
      <alignment horizontal="left"/>
      <protection locked="0"/>
    </xf>
    <xf numFmtId="0" fontId="62" fillId="6" borderId="0" xfId="0" applyFont="1" applyFill="1" applyAlignment="1" applyProtection="1">
      <alignment horizontal="left"/>
    </xf>
    <xf numFmtId="0" fontId="62" fillId="6" borderId="0" xfId="0" applyFont="1" applyFill="1" applyAlignment="1" applyProtection="1">
      <alignment horizontal="center"/>
    </xf>
    <xf numFmtId="0" fontId="62" fillId="6" borderId="0" xfId="0" applyFont="1" applyFill="1" applyProtection="1"/>
    <xf numFmtId="179" fontId="3" fillId="6" borderId="0" xfId="0" applyNumberFormat="1" applyFont="1" applyFill="1" applyAlignment="1" applyProtection="1">
      <alignment horizontal="left"/>
    </xf>
    <xf numFmtId="0" fontId="0" fillId="0" borderId="0" xfId="26" applyFont="1" applyFill="1" applyBorder="1" applyAlignment="1"/>
    <xf numFmtId="0" fontId="0" fillId="6" borderId="0" xfId="26" applyFont="1" applyFill="1" applyBorder="1" applyAlignment="1">
      <alignment horizontal="center"/>
    </xf>
    <xf numFmtId="0" fontId="0" fillId="6" borderId="0" xfId="26" applyFont="1" applyFill="1" applyBorder="1" applyAlignment="1"/>
    <xf numFmtId="0" fontId="36" fillId="0" borderId="0" xfId="24" applyFont="1" applyAlignment="1"/>
    <xf numFmtId="189" fontId="0" fillId="0" borderId="0" xfId="26" applyNumberFormat="1" applyFont="1" applyFill="1" applyAlignment="1"/>
    <xf numFmtId="167" fontId="0" fillId="6" borderId="0" xfId="28" applyNumberFormat="1" applyFont="1" applyFill="1" applyBorder="1" applyAlignment="1">
      <alignment horizontal="center"/>
    </xf>
    <xf numFmtId="171" fontId="0" fillId="6" borderId="0" xfId="14" applyNumberFormat="1" applyFont="1" applyFill="1" applyBorder="1" applyAlignment="1" applyProtection="1">
      <alignment horizontal="center"/>
    </xf>
    <xf numFmtId="186" fontId="0" fillId="6" borderId="0" xfId="14" applyNumberFormat="1" applyFont="1" applyFill="1" applyBorder="1" applyAlignment="1" applyProtection="1">
      <alignment horizontal="center"/>
    </xf>
    <xf numFmtId="187" fontId="0" fillId="6" borderId="0" xfId="30" applyNumberFormat="1" applyFont="1" applyFill="1" applyBorder="1" applyAlignment="1" applyProtection="1">
      <alignment horizontal="center"/>
    </xf>
    <xf numFmtId="186" fontId="0" fillId="6" borderId="0" xfId="28" applyNumberFormat="1" applyFont="1" applyFill="1" applyBorder="1" applyAlignment="1">
      <alignment horizontal="center"/>
    </xf>
    <xf numFmtId="164" fontId="36" fillId="0" borderId="0" xfId="10" applyFont="1" applyFill="1" applyBorder="1" applyAlignment="1" applyProtection="1"/>
    <xf numFmtId="190" fontId="0" fillId="6" borderId="0" xfId="14" applyNumberFormat="1" applyFont="1" applyFill="1" applyBorder="1" applyAlignment="1" applyProtection="1">
      <alignment horizontal="center"/>
    </xf>
    <xf numFmtId="188" fontId="0" fillId="6" borderId="0" xfId="14" applyNumberFormat="1" applyFont="1" applyFill="1" applyBorder="1" applyAlignment="1" applyProtection="1">
      <alignment horizontal="center"/>
    </xf>
    <xf numFmtId="188" fontId="0" fillId="6" borderId="0" xfId="28" applyNumberFormat="1" applyFont="1" applyFill="1" applyBorder="1" applyAlignment="1">
      <alignment horizontal="center"/>
    </xf>
    <xf numFmtId="186" fontId="36" fillId="0" borderId="0" xfId="24" applyNumberFormat="1" applyFont="1" applyAlignment="1"/>
    <xf numFmtId="167" fontId="0" fillId="6" borderId="17" xfId="28" applyNumberFormat="1" applyFont="1" applyFill="1" applyBorder="1" applyAlignment="1">
      <alignment horizontal="center"/>
    </xf>
    <xf numFmtId="190" fontId="0" fillId="6" borderId="18" xfId="14" applyNumberFormat="1" applyFont="1" applyFill="1" applyBorder="1" applyAlignment="1" applyProtection="1">
      <alignment horizontal="center"/>
    </xf>
    <xf numFmtId="188" fontId="0" fillId="6" borderId="18" xfId="14" applyNumberFormat="1" applyFont="1" applyFill="1" applyBorder="1" applyAlignment="1" applyProtection="1">
      <alignment horizontal="center"/>
    </xf>
    <xf numFmtId="187" fontId="0" fillId="6" borderId="18" xfId="30" applyNumberFormat="1" applyFont="1" applyFill="1" applyBorder="1" applyAlignment="1" applyProtection="1">
      <alignment horizontal="center"/>
    </xf>
    <xf numFmtId="188" fontId="0" fillId="6" borderId="18" xfId="28" applyNumberFormat="1" applyFont="1" applyFill="1" applyBorder="1" applyAlignment="1">
      <alignment horizontal="center"/>
    </xf>
    <xf numFmtId="188" fontId="0" fillId="6" borderId="19" xfId="28" applyNumberFormat="1" applyFont="1" applyFill="1" applyBorder="1" applyAlignment="1">
      <alignment horizontal="center"/>
    </xf>
    <xf numFmtId="167" fontId="0" fillId="6" borderId="26" xfId="28" applyNumberFormat="1" applyFont="1" applyFill="1" applyBorder="1" applyAlignment="1">
      <alignment horizontal="center"/>
    </xf>
    <xf numFmtId="190" fontId="0" fillId="6" borderId="27" xfId="14" applyNumberFormat="1" applyFont="1" applyFill="1" applyBorder="1" applyAlignment="1" applyProtection="1">
      <alignment horizontal="center"/>
    </xf>
    <xf numFmtId="188" fontId="0" fillId="6" borderId="27" xfId="14" applyNumberFormat="1" applyFont="1" applyFill="1" applyBorder="1" applyAlignment="1" applyProtection="1">
      <alignment horizontal="center"/>
    </xf>
    <xf numFmtId="187" fontId="0" fillId="6" borderId="27" xfId="30" applyNumberFormat="1" applyFont="1" applyFill="1" applyBorder="1" applyAlignment="1" applyProtection="1">
      <alignment horizontal="center"/>
    </xf>
    <xf numFmtId="188" fontId="0" fillId="6" borderId="27" xfId="28" applyNumberFormat="1" applyFont="1" applyFill="1" applyBorder="1" applyAlignment="1">
      <alignment horizontal="center"/>
    </xf>
    <xf numFmtId="188" fontId="0" fillId="6" borderId="37" xfId="28" applyNumberFormat="1" applyFont="1" applyFill="1" applyBorder="1" applyAlignment="1">
      <alignment horizontal="center"/>
    </xf>
    <xf numFmtId="0" fontId="4" fillId="6" borderId="45" xfId="28" applyFont="1" applyFill="1" applyBorder="1" applyAlignment="1">
      <alignment horizontal="center"/>
    </xf>
    <xf numFmtId="165" fontId="4" fillId="6" borderId="45" xfId="14" applyFont="1" applyFill="1" applyBorder="1" applyAlignment="1" applyProtection="1">
      <alignment horizontal="center"/>
    </xf>
    <xf numFmtId="188" fontId="4" fillId="6" borderId="45" xfId="28" applyNumberFormat="1" applyFont="1" applyFill="1" applyBorder="1" applyAlignment="1">
      <alignment horizontal="center"/>
    </xf>
    <xf numFmtId="188" fontId="4" fillId="6" borderId="45" xfId="30" applyNumberFormat="1" applyFont="1" applyFill="1" applyBorder="1" applyAlignment="1" applyProtection="1">
      <alignment horizontal="center"/>
    </xf>
    <xf numFmtId="186" fontId="4" fillId="0" borderId="38" xfId="28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3" fillId="6" borderId="0" xfId="0" applyFont="1" applyFill="1" applyAlignment="1"/>
    <xf numFmtId="0" fontId="47" fillId="6" borderId="0" xfId="0" applyFont="1" applyFill="1" applyAlignment="1"/>
    <xf numFmtId="0" fontId="47" fillId="0" borderId="0" xfId="0" applyFont="1" applyAlignment="1"/>
    <xf numFmtId="0" fontId="69" fillId="6" borderId="0" xfId="0" applyFont="1" applyFill="1" applyAlignment="1"/>
    <xf numFmtId="0" fontId="69" fillId="0" borderId="0" xfId="0" applyFont="1" applyAlignment="1"/>
    <xf numFmtId="0" fontId="3" fillId="6" borderId="0" xfId="0" applyFont="1" applyFill="1" applyAlignment="1"/>
    <xf numFmtId="0" fontId="11" fillId="6" borderId="0" xfId="0" applyFont="1" applyFill="1" applyAlignment="1">
      <alignment horizontal="center"/>
    </xf>
    <xf numFmtId="0" fontId="11" fillId="6" borderId="0" xfId="0" applyFont="1" applyFill="1" applyBorder="1" applyAlignment="1">
      <alignment horizontal="center"/>
    </xf>
    <xf numFmtId="180" fontId="11" fillId="6" borderId="0" xfId="0" applyNumberFormat="1" applyFont="1" applyFill="1"/>
    <xf numFmtId="180" fontId="3" fillId="6" borderId="0" xfId="0" applyNumberFormat="1" applyFont="1" applyFill="1"/>
    <xf numFmtId="0" fontId="72" fillId="6" borderId="0" xfId="0" applyFont="1" applyFill="1" applyAlignment="1">
      <alignment horizontal="left"/>
    </xf>
    <xf numFmtId="180" fontId="0" fillId="6" borderId="0" xfId="0" applyNumberFormat="1" applyFont="1" applyFill="1"/>
    <xf numFmtId="0" fontId="0" fillId="6" borderId="0" xfId="0" applyFont="1" applyFill="1" applyAlignment="1"/>
    <xf numFmtId="179" fontId="3" fillId="6" borderId="0" xfId="0" applyNumberFormat="1" applyFont="1" applyFill="1" applyAlignment="1">
      <alignment horizontal="left"/>
    </xf>
    <xf numFmtId="185" fontId="3" fillId="6" borderId="0" xfId="0" applyNumberFormat="1" applyFont="1" applyFill="1"/>
    <xf numFmtId="0" fontId="3" fillId="6" borderId="16" xfId="0" applyFont="1" applyFill="1" applyBorder="1" applyAlignment="1"/>
    <xf numFmtId="180" fontId="11" fillId="6" borderId="39" xfId="1" applyNumberFormat="1" applyFont="1" applyFill="1" applyBorder="1" applyAlignment="1" applyProtection="1"/>
    <xf numFmtId="0" fontId="3" fillId="6" borderId="0" xfId="0" applyFont="1" applyFill="1" applyBorder="1" applyAlignment="1"/>
    <xf numFmtId="179" fontId="72" fillId="6" borderId="0" xfId="0" applyNumberFormat="1" applyFont="1" applyFill="1" applyAlignment="1">
      <alignment horizontal="left"/>
    </xf>
    <xf numFmtId="179" fontId="72" fillId="6" borderId="0" xfId="0" applyNumberFormat="1" applyFont="1" applyFill="1" applyAlignment="1"/>
    <xf numFmtId="185" fontId="0" fillId="6" borderId="0" xfId="0" applyNumberFormat="1" applyFont="1" applyFill="1"/>
    <xf numFmtId="179" fontId="39" fillId="6" borderId="0" xfId="0" applyNumberFormat="1" applyFont="1" applyFill="1" applyAlignment="1">
      <alignment horizontal="center"/>
    </xf>
    <xf numFmtId="179" fontId="39" fillId="6" borderId="0" xfId="0" applyNumberFormat="1" applyFont="1" applyFill="1" applyAlignment="1"/>
    <xf numFmtId="180" fontId="39" fillId="6" borderId="0" xfId="0" applyNumberFormat="1" applyFont="1" applyFill="1" applyAlignment="1"/>
    <xf numFmtId="179" fontId="69" fillId="6" borderId="0" xfId="0" applyNumberFormat="1" applyFont="1" applyFill="1"/>
    <xf numFmtId="179" fontId="3" fillId="6" borderId="0" xfId="0" applyNumberFormat="1" applyFont="1" applyFill="1" applyBorder="1" applyAlignment="1">
      <alignment horizontal="left" indent="1"/>
    </xf>
    <xf numFmtId="179" fontId="76" fillId="6" borderId="0" xfId="0" applyNumberFormat="1" applyFont="1" applyFill="1" applyAlignment="1">
      <alignment horizontal="left" indent="5"/>
    </xf>
    <xf numFmtId="179" fontId="11" fillId="6" borderId="0" xfId="0" applyNumberFormat="1" applyFont="1" applyFill="1"/>
    <xf numFmtId="185" fontId="11" fillId="6" borderId="0" xfId="0" applyNumberFormat="1" applyFont="1" applyFill="1"/>
    <xf numFmtId="0" fontId="11" fillId="6" borderId="0" xfId="0" applyFont="1" applyFill="1" applyBorder="1" applyAlignment="1"/>
    <xf numFmtId="0" fontId="47" fillId="0" borderId="0" xfId="17" applyFont="1" applyFill="1"/>
    <xf numFmtId="0" fontId="0" fillId="0" borderId="0" xfId="17" applyFont="1" applyFill="1" applyAlignment="1">
      <alignment horizontal="left" indent="1"/>
    </xf>
    <xf numFmtId="0" fontId="0" fillId="0" borderId="0" xfId="17" applyFont="1" applyFill="1" applyAlignment="1">
      <alignment horizontal="left" vertical="center" indent="1"/>
    </xf>
    <xf numFmtId="0" fontId="49" fillId="6" borderId="18" xfId="17" applyFont="1" applyFill="1" applyBorder="1" applyAlignment="1">
      <alignment vertical="center"/>
    </xf>
    <xf numFmtId="0" fontId="49" fillId="6" borderId="1" xfId="17" applyFont="1" applyFill="1" applyBorder="1" applyAlignment="1">
      <alignment vertical="center"/>
    </xf>
    <xf numFmtId="0" fontId="47" fillId="0" borderId="0" xfId="17" applyFont="1" applyFill="1" applyBorder="1" applyAlignment="1">
      <alignment horizontal="right" vertical="center" indent="1"/>
    </xf>
    <xf numFmtId="165" fontId="62" fillId="0" borderId="0" xfId="2" applyFont="1" applyFill="1" applyBorder="1" applyAlignment="1" applyProtection="1">
      <alignment horizontal="left"/>
    </xf>
    <xf numFmtId="0" fontId="0" fillId="0" borderId="0" xfId="17" applyFont="1" applyFill="1" applyAlignment="1">
      <alignment horizontal="left" vertical="top" indent="1"/>
    </xf>
    <xf numFmtId="171" fontId="50" fillId="6" borderId="17" xfId="2" applyNumberFormat="1" applyFont="1" applyFill="1" applyBorder="1" applyAlignment="1" applyProtection="1">
      <alignment horizontal="center"/>
    </xf>
    <xf numFmtId="171" fontId="50" fillId="6" borderId="18" xfId="2" applyNumberFormat="1" applyFont="1" applyFill="1" applyBorder="1" applyAlignment="1" applyProtection="1">
      <alignment horizontal="center"/>
    </xf>
    <xf numFmtId="165" fontId="12" fillId="6" borderId="18" xfId="2" applyFont="1" applyFill="1" applyBorder="1" applyAlignment="1" applyProtection="1">
      <alignment horizontal="center"/>
    </xf>
    <xf numFmtId="0" fontId="12" fillId="6" borderId="18" xfId="17" applyFont="1" applyFill="1" applyBorder="1" applyAlignment="1">
      <alignment horizontal="center"/>
    </xf>
    <xf numFmtId="0" fontId="50" fillId="6" borderId="21" xfId="17" applyFont="1" applyFill="1" applyBorder="1" applyAlignment="1">
      <alignment horizontal="center"/>
    </xf>
    <xf numFmtId="0" fontId="50" fillId="6" borderId="22" xfId="17" applyFont="1" applyFill="1" applyBorder="1" applyAlignment="1">
      <alignment horizontal="center"/>
    </xf>
    <xf numFmtId="10" fontId="50" fillId="6" borderId="23" xfId="3" applyNumberFormat="1" applyFont="1" applyFill="1" applyBorder="1" applyAlignment="1" applyProtection="1">
      <alignment horizontal="center" vertical="center"/>
    </xf>
    <xf numFmtId="10" fontId="50" fillId="6" borderId="23" xfId="3" applyNumberFormat="1" applyFont="1" applyFill="1" applyBorder="1" applyAlignment="1" applyProtection="1">
      <alignment horizontal="center"/>
    </xf>
    <xf numFmtId="0" fontId="12" fillId="6" borderId="24" xfId="17" applyFont="1" applyFill="1" applyBorder="1" applyAlignment="1">
      <alignment horizontal="center"/>
    </xf>
    <xf numFmtId="0" fontId="12" fillId="6" borderId="25" xfId="17" applyFont="1" applyFill="1" applyBorder="1" applyAlignment="1">
      <alignment horizontal="center"/>
    </xf>
    <xf numFmtId="0" fontId="50" fillId="0" borderId="0" xfId="17" applyFont="1" applyFill="1" applyAlignment="1">
      <alignment horizontal="center" vertical="top"/>
    </xf>
    <xf numFmtId="0" fontId="50" fillId="6" borderId="26" xfId="17" applyFont="1" applyFill="1" applyBorder="1" applyAlignment="1">
      <alignment horizontal="left" vertical="center"/>
    </xf>
    <xf numFmtId="0" fontId="50" fillId="6" borderId="27" xfId="17" applyFont="1" applyFill="1" applyBorder="1" applyAlignment="1">
      <alignment horizontal="center" vertical="center"/>
    </xf>
    <xf numFmtId="165" fontId="50" fillId="6" borderId="27" xfId="2" applyFont="1" applyFill="1" applyBorder="1" applyAlignment="1" applyProtection="1">
      <alignment horizontal="center" vertical="center"/>
    </xf>
    <xf numFmtId="0" fontId="50" fillId="6" borderId="28" xfId="17" applyFont="1" applyFill="1" applyBorder="1" applyAlignment="1">
      <alignment horizontal="center" vertical="top" wrapText="1"/>
    </xf>
    <xf numFmtId="0" fontId="50" fillId="6" borderId="29" xfId="17" applyFont="1" applyFill="1" applyBorder="1" applyAlignment="1">
      <alignment horizontal="center" vertical="top" wrapText="1"/>
    </xf>
    <xf numFmtId="10" fontId="50" fillId="6" borderId="30" xfId="17" applyNumberFormat="1" applyFont="1" applyFill="1" applyBorder="1" applyAlignment="1">
      <alignment horizontal="center" vertical="center" wrapText="1"/>
    </xf>
    <xf numFmtId="0" fontId="50" fillId="6" borderId="28" xfId="17" applyFont="1" applyFill="1" applyBorder="1" applyAlignment="1">
      <alignment horizontal="center" vertical="center" wrapText="1"/>
    </xf>
    <xf numFmtId="0" fontId="50" fillId="6" borderId="29" xfId="17" applyFont="1" applyFill="1" applyBorder="1" applyAlignment="1">
      <alignment horizontal="center" vertical="center" wrapText="1"/>
    </xf>
    <xf numFmtId="0" fontId="50" fillId="6" borderId="26" xfId="17" applyFont="1" applyFill="1" applyBorder="1" applyAlignment="1">
      <alignment horizontal="center" vertical="top"/>
    </xf>
    <xf numFmtId="0" fontId="50" fillId="6" borderId="31" xfId="17" applyFont="1" applyFill="1" applyBorder="1" applyAlignment="1">
      <alignment horizontal="center" vertical="top"/>
    </xf>
    <xf numFmtId="0" fontId="50" fillId="0" borderId="16" xfId="17" applyFont="1" applyFill="1" applyBorder="1" applyAlignment="1">
      <alignment horizontal="center" vertical="top"/>
    </xf>
    <xf numFmtId="166" fontId="50" fillId="0" borderId="16" xfId="1" applyNumberFormat="1" applyFont="1" applyFill="1" applyBorder="1" applyAlignment="1" applyProtection="1">
      <alignment horizontal="center" vertical="top"/>
    </xf>
    <xf numFmtId="0" fontId="50" fillId="0" borderId="16" xfId="17" applyFont="1" applyFill="1" applyBorder="1" applyAlignment="1">
      <alignment horizontal="center" vertical="center" wrapText="1"/>
    </xf>
    <xf numFmtId="0" fontId="50" fillId="0" borderId="0" xfId="17" applyFont="1" applyFill="1" applyAlignment="1">
      <alignment horizontal="center" wrapText="1"/>
    </xf>
    <xf numFmtId="0" fontId="50" fillId="0" borderId="0" xfId="17" applyFont="1" applyFill="1" applyAlignment="1">
      <alignment horizontal="center" vertical="center"/>
    </xf>
    <xf numFmtId="0" fontId="50" fillId="6" borderId="24" xfId="17" applyFont="1" applyFill="1" applyBorder="1" applyAlignment="1">
      <alignment horizontal="left" vertical="center"/>
    </xf>
    <xf numFmtId="0" fontId="50" fillId="6" borderId="0" xfId="17" applyFont="1" applyFill="1" applyBorder="1" applyAlignment="1">
      <alignment horizontal="center" vertical="center"/>
    </xf>
    <xf numFmtId="165" fontId="50" fillId="6" borderId="0" xfId="2" applyFont="1" applyFill="1" applyBorder="1" applyAlignment="1" applyProtection="1">
      <alignment horizontal="center" vertical="center"/>
    </xf>
    <xf numFmtId="0" fontId="50" fillId="6" borderId="32" xfId="17" applyFont="1" applyFill="1" applyBorder="1" applyAlignment="1">
      <alignment horizontal="center" vertical="center"/>
    </xf>
    <xf numFmtId="0" fontId="50" fillId="6" borderId="33" xfId="17" applyFont="1" applyFill="1" applyBorder="1" applyAlignment="1">
      <alignment horizontal="center" vertical="center"/>
    </xf>
    <xf numFmtId="10" fontId="50" fillId="6" borderId="34" xfId="17" applyNumberFormat="1" applyFont="1" applyFill="1" applyBorder="1" applyAlignment="1">
      <alignment horizontal="center" vertical="center"/>
    </xf>
    <xf numFmtId="0" fontId="50" fillId="6" borderId="24" xfId="17" applyFont="1" applyFill="1" applyBorder="1" applyAlignment="1">
      <alignment horizontal="center" vertical="center"/>
    </xf>
    <xf numFmtId="0" fontId="50" fillId="6" borderId="25" xfId="17" applyFont="1" applyFill="1" applyBorder="1" applyAlignment="1">
      <alignment horizontal="center" vertical="center"/>
    </xf>
    <xf numFmtId="0" fontId="50" fillId="0" borderId="0" xfId="17" applyFont="1" applyFill="1" applyAlignment="1">
      <alignment vertical="center"/>
    </xf>
    <xf numFmtId="0" fontId="80" fillId="6" borderId="17" xfId="17" applyFont="1" applyFill="1" applyBorder="1"/>
    <xf numFmtId="0" fontId="12" fillId="6" borderId="18" xfId="17" applyFont="1" applyFill="1" applyBorder="1"/>
    <xf numFmtId="165" fontId="12" fillId="6" borderId="18" xfId="2" applyFont="1" applyFill="1" applyBorder="1" applyAlignment="1" applyProtection="1"/>
    <xf numFmtId="0" fontId="12" fillId="6" borderId="21" xfId="17" applyFont="1" applyFill="1" applyBorder="1"/>
    <xf numFmtId="0" fontId="12" fillId="6" borderId="22" xfId="17" applyFont="1" applyFill="1" applyBorder="1"/>
    <xf numFmtId="0" fontId="12" fillId="6" borderId="23" xfId="17" applyFont="1" applyFill="1" applyBorder="1" applyAlignment="1">
      <alignment horizontal="center" vertical="center"/>
    </xf>
    <xf numFmtId="0" fontId="12" fillId="6" borderId="23" xfId="17" applyFont="1" applyFill="1" applyBorder="1"/>
    <xf numFmtId="0" fontId="12" fillId="6" borderId="17" xfId="17" applyFont="1" applyFill="1" applyBorder="1"/>
    <xf numFmtId="0" fontId="12" fillId="6" borderId="1" xfId="17" applyFont="1" applyFill="1" applyBorder="1"/>
    <xf numFmtId="164" fontId="81" fillId="6" borderId="46" xfId="1" applyFont="1" applyFill="1" applyBorder="1" applyAlignment="1" applyProtection="1">
      <alignment horizontal="left" vertical="center" indent="1"/>
    </xf>
    <xf numFmtId="0" fontId="52" fillId="6" borderId="47" xfId="25" applyFont="1" applyFill="1" applyBorder="1" applyAlignment="1">
      <alignment horizontal="center" vertical="center"/>
    </xf>
    <xf numFmtId="165" fontId="50" fillId="6" borderId="47" xfId="2" applyFont="1" applyFill="1" applyBorder="1" applyAlignment="1" applyProtection="1">
      <alignment horizontal="center" vertical="center"/>
    </xf>
    <xf numFmtId="0" fontId="50" fillId="6" borderId="47" xfId="17" applyFont="1" applyFill="1" applyBorder="1" applyAlignment="1">
      <alignment horizontal="center" vertical="center"/>
    </xf>
    <xf numFmtId="165" fontId="12" fillId="6" borderId="48" xfId="2" applyNumberFormat="1" applyFont="1" applyFill="1" applyBorder="1" applyAlignment="1" applyProtection="1">
      <alignment vertical="center"/>
    </xf>
    <xf numFmtId="165" fontId="12" fillId="6" borderId="49" xfId="2" applyNumberFormat="1" applyFont="1" applyFill="1" applyBorder="1" applyAlignment="1" applyProtection="1">
      <alignment vertical="center"/>
    </xf>
    <xf numFmtId="10" fontId="12" fillId="6" borderId="50" xfId="3" applyNumberFormat="1" applyFont="1" applyFill="1" applyBorder="1" applyAlignment="1" applyProtection="1">
      <alignment horizontal="center" vertical="center"/>
    </xf>
    <xf numFmtId="0" fontId="12" fillId="6" borderId="46" xfId="17" applyFont="1" applyFill="1" applyBorder="1" applyAlignment="1">
      <alignment horizontal="right" vertical="center" indent="1"/>
    </xf>
    <xf numFmtId="0" fontId="12" fillId="6" borderId="51" xfId="17" applyFont="1" applyFill="1" applyBorder="1" applyAlignment="1">
      <alignment horizontal="right" vertical="center"/>
    </xf>
    <xf numFmtId="191" fontId="12" fillId="0" borderId="0" xfId="17" applyNumberFormat="1" applyFont="1" applyFill="1" applyAlignment="1">
      <alignment horizontal="center"/>
    </xf>
    <xf numFmtId="165" fontId="12" fillId="0" borderId="0" xfId="17" applyNumberFormat="1" applyFont="1" applyFill="1"/>
    <xf numFmtId="164" fontId="81" fillId="6" borderId="24" xfId="1" applyFont="1" applyFill="1" applyBorder="1" applyAlignment="1" applyProtection="1">
      <alignment horizontal="left" vertical="center" indent="1"/>
    </xf>
    <xf numFmtId="0" fontId="52" fillId="6" borderId="0" xfId="25" applyFont="1" applyFill="1" applyBorder="1" applyAlignment="1">
      <alignment horizontal="center" vertical="center"/>
    </xf>
    <xf numFmtId="165" fontId="12" fillId="6" borderId="32" xfId="2" applyNumberFormat="1" applyFont="1" applyFill="1" applyBorder="1" applyAlignment="1" applyProtection="1">
      <alignment vertical="center"/>
    </xf>
    <xf numFmtId="165" fontId="12" fillId="6" borderId="33" xfId="2" applyNumberFormat="1" applyFont="1" applyFill="1" applyBorder="1" applyAlignment="1" applyProtection="1">
      <alignment vertical="center"/>
    </xf>
    <xf numFmtId="10" fontId="12" fillId="6" borderId="34" xfId="3" applyNumberFormat="1" applyFont="1" applyFill="1" applyBorder="1" applyAlignment="1" applyProtection="1">
      <alignment horizontal="center" vertical="center"/>
    </xf>
    <xf numFmtId="0" fontId="12" fillId="6" borderId="24" xfId="17" applyFont="1" applyFill="1" applyBorder="1" applyAlignment="1">
      <alignment horizontal="right" vertical="center" indent="1"/>
    </xf>
    <xf numFmtId="0" fontId="12" fillId="6" borderId="25" xfId="17" applyFont="1" applyFill="1" applyBorder="1" applyAlignment="1">
      <alignment horizontal="right" vertical="center"/>
    </xf>
    <xf numFmtId="164" fontId="81" fillId="6" borderId="26" xfId="1" applyFont="1" applyFill="1" applyBorder="1" applyAlignment="1" applyProtection="1">
      <alignment horizontal="left" vertical="center" indent="1"/>
    </xf>
    <xf numFmtId="0" fontId="52" fillId="6" borderId="27" xfId="25" applyFont="1" applyFill="1" applyBorder="1" applyAlignment="1">
      <alignment horizontal="center" vertical="center"/>
    </xf>
    <xf numFmtId="165" fontId="12" fillId="6" borderId="28" xfId="2" applyNumberFormat="1" applyFont="1" applyFill="1" applyBorder="1" applyAlignment="1" applyProtection="1">
      <alignment vertical="center"/>
    </xf>
    <xf numFmtId="165" fontId="12" fillId="6" borderId="29" xfId="2" applyNumberFormat="1" applyFont="1" applyFill="1" applyBorder="1" applyAlignment="1" applyProtection="1">
      <alignment vertical="center"/>
    </xf>
    <xf numFmtId="10" fontId="12" fillId="6" borderId="30" xfId="3" applyNumberFormat="1" applyFont="1" applyFill="1" applyBorder="1" applyAlignment="1" applyProtection="1">
      <alignment horizontal="center" vertical="center"/>
    </xf>
    <xf numFmtId="0" fontId="12" fillId="6" borderId="26" xfId="17" applyFont="1" applyFill="1" applyBorder="1" applyAlignment="1">
      <alignment horizontal="right" vertical="center" indent="1"/>
    </xf>
    <xf numFmtId="0" fontId="12" fillId="6" borderId="31" xfId="17" applyFont="1" applyFill="1" applyBorder="1" applyAlignment="1">
      <alignment horizontal="right" vertical="center"/>
    </xf>
    <xf numFmtId="0" fontId="81" fillId="6" borderId="24" xfId="17" applyFont="1" applyFill="1" applyBorder="1" applyAlignment="1">
      <alignment horizontal="left" vertical="center" indent="1"/>
    </xf>
    <xf numFmtId="0" fontId="12" fillId="0" borderId="16" xfId="17" applyFont="1" applyFill="1" applyBorder="1" applyAlignment="1">
      <alignment horizontal="center"/>
    </xf>
    <xf numFmtId="191" fontId="12" fillId="0" borderId="16" xfId="17" applyNumberFormat="1" applyFont="1" applyFill="1" applyBorder="1" applyAlignment="1">
      <alignment horizontal="center"/>
    </xf>
    <xf numFmtId="0" fontId="81" fillId="7" borderId="46" xfId="17" applyFont="1" applyFill="1" applyBorder="1" applyAlignment="1">
      <alignment horizontal="left" vertical="center" indent="1"/>
    </xf>
    <xf numFmtId="0" fontId="12" fillId="7" borderId="47" xfId="17" applyFont="1" applyFill="1" applyBorder="1" applyAlignment="1">
      <alignment horizontal="center" vertical="center"/>
    </xf>
    <xf numFmtId="165" fontId="12" fillId="7" borderId="47" xfId="2" applyFont="1" applyFill="1" applyBorder="1" applyAlignment="1" applyProtection="1">
      <alignment horizontal="center" vertical="center"/>
    </xf>
    <xf numFmtId="0" fontId="50" fillId="7" borderId="52" xfId="17" applyFont="1" applyFill="1" applyBorder="1" applyAlignment="1">
      <alignment horizontal="center" vertical="center"/>
    </xf>
    <xf numFmtId="165" fontId="12" fillId="7" borderId="47" xfId="2" applyNumberFormat="1" applyFont="1" applyFill="1" applyBorder="1" applyAlignment="1" applyProtection="1">
      <alignment vertical="center"/>
    </xf>
    <xf numFmtId="165" fontId="12" fillId="7" borderId="49" xfId="2" applyNumberFormat="1" applyFont="1" applyFill="1" applyBorder="1" applyAlignment="1" applyProtection="1">
      <alignment vertical="center"/>
    </xf>
    <xf numFmtId="10" fontId="12" fillId="7" borderId="50" xfId="3" applyNumberFormat="1" applyFont="1" applyFill="1" applyBorder="1" applyAlignment="1" applyProtection="1">
      <alignment horizontal="center" vertical="center"/>
    </xf>
    <xf numFmtId="0" fontId="12" fillId="7" borderId="51" xfId="17" applyFont="1" applyFill="1" applyBorder="1" applyAlignment="1">
      <alignment horizontal="right" vertical="center" indent="1"/>
    </xf>
    <xf numFmtId="0" fontId="12" fillId="7" borderId="52" xfId="17" applyFont="1" applyFill="1" applyBorder="1" applyAlignment="1">
      <alignment horizontal="right" vertical="center"/>
    </xf>
    <xf numFmtId="165" fontId="12" fillId="7" borderId="49" xfId="2" applyNumberFormat="1" applyFont="1" applyFill="1" applyBorder="1" applyAlignment="1" applyProtection="1">
      <alignment horizontal="right" vertical="center"/>
    </xf>
    <xf numFmtId="0" fontId="81" fillId="7" borderId="24" xfId="17" applyFont="1" applyFill="1" applyBorder="1" applyAlignment="1">
      <alignment horizontal="left" vertical="center" indent="1"/>
    </xf>
    <xf numFmtId="0" fontId="12" fillId="7" borderId="25" xfId="17" applyFont="1" applyFill="1" applyBorder="1" applyAlignment="1">
      <alignment horizontal="right" vertical="center" indent="1"/>
    </xf>
    <xf numFmtId="0" fontId="12" fillId="7" borderId="36" xfId="17" applyFont="1" applyFill="1" applyBorder="1" applyAlignment="1">
      <alignment horizontal="right" vertical="center"/>
    </xf>
    <xf numFmtId="0" fontId="81" fillId="6" borderId="46" xfId="17" applyFont="1" applyFill="1" applyBorder="1" applyAlignment="1">
      <alignment horizontal="left" vertical="center" indent="1"/>
    </xf>
    <xf numFmtId="0" fontId="81" fillId="6" borderId="53" xfId="17" applyFont="1" applyFill="1" applyBorder="1" applyAlignment="1">
      <alignment horizontal="left" vertical="center" indent="1"/>
    </xf>
    <xf numFmtId="0" fontId="50" fillId="6" borderId="54" xfId="17" applyFont="1" applyFill="1" applyBorder="1" applyAlignment="1">
      <alignment horizontal="center" vertical="center"/>
    </xf>
    <xf numFmtId="165" fontId="50" fillId="6" borderId="54" xfId="2" applyFont="1" applyFill="1" applyBorder="1" applyAlignment="1" applyProtection="1">
      <alignment horizontal="center" vertical="center"/>
    </xf>
    <xf numFmtId="165" fontId="12" fillId="6" borderId="55" xfId="2" applyNumberFormat="1" applyFont="1" applyFill="1" applyBorder="1" applyAlignment="1" applyProtection="1">
      <alignment vertical="center"/>
    </xf>
    <xf numFmtId="165" fontId="12" fillId="6" borderId="56" xfId="2" applyNumberFormat="1" applyFont="1" applyFill="1" applyBorder="1" applyAlignment="1" applyProtection="1">
      <alignment vertical="center"/>
    </xf>
    <xf numFmtId="10" fontId="12" fillId="6" borderId="57" xfId="3" applyNumberFormat="1" applyFont="1" applyFill="1" applyBorder="1" applyAlignment="1" applyProtection="1">
      <alignment horizontal="center" vertical="center"/>
    </xf>
    <xf numFmtId="0" fontId="12" fillId="6" borderId="53" xfId="17" applyFont="1" applyFill="1" applyBorder="1" applyAlignment="1">
      <alignment horizontal="right" vertical="center" indent="1"/>
    </xf>
    <xf numFmtId="0" fontId="12" fillId="6" borderId="58" xfId="17" applyFont="1" applyFill="1" applyBorder="1" applyAlignment="1">
      <alignment horizontal="right" vertical="center"/>
    </xf>
    <xf numFmtId="0" fontId="80" fillId="6" borderId="17" xfId="17" applyFont="1" applyFill="1" applyBorder="1" applyAlignment="1">
      <alignment horizontal="left" vertical="center"/>
    </xf>
    <xf numFmtId="0" fontId="50" fillId="6" borderId="18" xfId="17" applyFont="1" applyFill="1" applyBorder="1" applyAlignment="1">
      <alignment vertical="center"/>
    </xf>
    <xf numFmtId="165" fontId="12" fillId="6" borderId="18" xfId="2" applyFont="1" applyFill="1" applyBorder="1" applyAlignment="1" applyProtection="1">
      <alignment vertical="center"/>
    </xf>
    <xf numFmtId="0" fontId="12" fillId="6" borderId="19" xfId="17" applyFont="1" applyFill="1" applyBorder="1" applyAlignment="1">
      <alignment horizontal="center" vertical="center"/>
    </xf>
    <xf numFmtId="165" fontId="50" fillId="6" borderId="21" xfId="2" applyFont="1" applyFill="1" applyBorder="1" applyAlignment="1" applyProtection="1">
      <alignment vertical="center"/>
    </xf>
    <xf numFmtId="165" fontId="50" fillId="6" borderId="22" xfId="2" applyFont="1" applyFill="1" applyBorder="1" applyAlignment="1" applyProtection="1">
      <alignment vertical="center"/>
    </xf>
    <xf numFmtId="0" fontId="12" fillId="6" borderId="1" xfId="17" applyFont="1" applyFill="1" applyBorder="1" applyAlignment="1">
      <alignment horizontal="right" vertical="center" indent="1"/>
    </xf>
    <xf numFmtId="0" fontId="12" fillId="6" borderId="19" xfId="17" applyFont="1" applyFill="1" applyBorder="1" applyAlignment="1">
      <alignment horizontal="right" vertical="center"/>
    </xf>
    <xf numFmtId="165" fontId="54" fillId="7" borderId="48" xfId="17" applyNumberFormat="1" applyFont="1" applyFill="1" applyBorder="1" applyAlignment="1">
      <alignment vertical="center"/>
    </xf>
    <xf numFmtId="0" fontId="82" fillId="0" borderId="0" xfId="17" applyFont="1" applyFill="1"/>
    <xf numFmtId="0" fontId="83" fillId="5" borderId="46" xfId="17" applyFont="1" applyFill="1" applyBorder="1" applyAlignment="1">
      <alignment horizontal="left" vertical="center" indent="1"/>
    </xf>
    <xf numFmtId="165" fontId="19" fillId="5" borderId="47" xfId="11" applyFont="1" applyFill="1" applyBorder="1" applyAlignment="1" applyProtection="1">
      <alignment horizontal="center" vertical="center"/>
    </xf>
    <xf numFmtId="0" fontId="19" fillId="5" borderId="47" xfId="17" applyFont="1" applyFill="1" applyBorder="1" applyAlignment="1">
      <alignment horizontal="center" vertical="center"/>
    </xf>
    <xf numFmtId="0" fontId="84" fillId="5" borderId="52" xfId="17" applyFont="1" applyFill="1" applyBorder="1" applyAlignment="1">
      <alignment horizontal="center" vertical="center"/>
    </xf>
    <xf numFmtId="165" fontId="82" fillId="5" borderId="47" xfId="2" applyNumberFormat="1" applyFont="1" applyFill="1" applyBorder="1" applyAlignment="1" applyProtection="1">
      <alignment vertical="center"/>
    </xf>
    <xf numFmtId="165" fontId="82" fillId="5" borderId="49" xfId="2" applyNumberFormat="1" applyFont="1" applyFill="1" applyBorder="1" applyAlignment="1" applyProtection="1">
      <alignment horizontal="right" vertical="center"/>
    </xf>
    <xf numFmtId="10" fontId="82" fillId="5" borderId="50" xfId="3" applyNumberFormat="1" applyFont="1" applyFill="1" applyBorder="1" applyAlignment="1" applyProtection="1">
      <alignment horizontal="center" vertical="center"/>
    </xf>
    <xf numFmtId="165" fontId="82" fillId="5" borderId="48" xfId="2" applyNumberFormat="1" applyFont="1" applyFill="1" applyBorder="1" applyAlignment="1" applyProtection="1">
      <alignment vertical="center"/>
    </xf>
    <xf numFmtId="165" fontId="82" fillId="5" borderId="49" xfId="2" applyNumberFormat="1" applyFont="1" applyFill="1" applyBorder="1" applyAlignment="1" applyProtection="1">
      <alignment vertical="center"/>
    </xf>
    <xf numFmtId="0" fontId="82" fillId="5" borderId="51" xfId="17" applyFont="1" applyFill="1" applyBorder="1" applyAlignment="1">
      <alignment horizontal="right" vertical="center" indent="1"/>
    </xf>
    <xf numFmtId="0" fontId="82" fillId="5" borderId="52" xfId="17" applyFont="1" applyFill="1" applyBorder="1" applyAlignment="1">
      <alignment horizontal="right" vertical="center"/>
    </xf>
    <xf numFmtId="0" fontId="82" fillId="0" borderId="0" xfId="17" applyFont="1" applyFill="1" applyBorder="1"/>
    <xf numFmtId="166" fontId="82" fillId="0" borderId="0" xfId="1" applyNumberFormat="1" applyFont="1" applyFill="1" applyBorder="1" applyAlignment="1" applyProtection="1"/>
    <xf numFmtId="10" fontId="84" fillId="0" borderId="0" xfId="3" applyNumberFormat="1" applyFont="1" applyFill="1" applyBorder="1" applyAlignment="1" applyProtection="1">
      <alignment horizontal="center"/>
    </xf>
    <xf numFmtId="10" fontId="82" fillId="0" borderId="0" xfId="3" applyNumberFormat="1" applyFont="1" applyFill="1" applyBorder="1" applyAlignment="1" applyProtection="1">
      <alignment horizontal="center"/>
    </xf>
    <xf numFmtId="173" fontId="82" fillId="0" borderId="0" xfId="1" applyNumberFormat="1" applyFont="1" applyFill="1" applyBorder="1" applyAlignment="1" applyProtection="1"/>
    <xf numFmtId="164" fontId="84" fillId="0" borderId="0" xfId="1" applyFont="1" applyFill="1" applyBorder="1" applyAlignment="1" applyProtection="1">
      <alignment horizontal="center"/>
    </xf>
    <xf numFmtId="170" fontId="82" fillId="0" borderId="0" xfId="17" applyNumberFormat="1" applyFont="1" applyFill="1"/>
    <xf numFmtId="170" fontId="82" fillId="0" borderId="0" xfId="17" applyNumberFormat="1" applyFont="1" applyFill="1" applyBorder="1"/>
    <xf numFmtId="170" fontId="84" fillId="0" borderId="0" xfId="17" applyNumberFormat="1" applyFont="1" applyFill="1"/>
    <xf numFmtId="0" fontId="83" fillId="5" borderId="24" xfId="17" applyFont="1" applyFill="1" applyBorder="1" applyAlignment="1">
      <alignment horizontal="left" vertical="center" indent="1"/>
    </xf>
    <xf numFmtId="165" fontId="19" fillId="5" borderId="0" xfId="11" applyFont="1" applyFill="1" applyBorder="1" applyAlignment="1" applyProtection="1">
      <alignment horizontal="center" vertical="center"/>
    </xf>
    <xf numFmtId="0" fontId="19" fillId="5" borderId="0" xfId="17" applyFont="1" applyFill="1" applyBorder="1" applyAlignment="1">
      <alignment horizontal="center" vertical="center"/>
    </xf>
    <xf numFmtId="0" fontId="84" fillId="5" borderId="36" xfId="17" applyFont="1" applyFill="1" applyBorder="1" applyAlignment="1">
      <alignment horizontal="center" vertical="center"/>
    </xf>
    <xf numFmtId="165" fontId="82" fillId="5" borderId="0" xfId="2" applyNumberFormat="1" applyFont="1" applyFill="1" applyBorder="1" applyAlignment="1" applyProtection="1">
      <alignment vertical="center"/>
    </xf>
    <xf numFmtId="165" fontId="82" fillId="5" borderId="33" xfId="2" applyNumberFormat="1" applyFont="1" applyFill="1" applyBorder="1" applyAlignment="1" applyProtection="1">
      <alignment horizontal="right" vertical="center"/>
    </xf>
    <xf numFmtId="10" fontId="82" fillId="5" borderId="34" xfId="3" applyNumberFormat="1" applyFont="1" applyFill="1" applyBorder="1" applyAlignment="1" applyProtection="1">
      <alignment horizontal="center" vertical="center"/>
    </xf>
    <xf numFmtId="165" fontId="82" fillId="5" borderId="32" xfId="2" applyNumberFormat="1" applyFont="1" applyFill="1" applyBorder="1" applyAlignment="1" applyProtection="1">
      <alignment vertical="center"/>
    </xf>
    <xf numFmtId="165" fontId="82" fillId="5" borderId="33" xfId="2" applyNumberFormat="1" applyFont="1" applyFill="1" applyBorder="1" applyAlignment="1" applyProtection="1">
      <alignment vertical="center"/>
    </xf>
    <xf numFmtId="0" fontId="82" fillId="5" borderId="25" xfId="17" applyFont="1" applyFill="1" applyBorder="1" applyAlignment="1">
      <alignment horizontal="right" vertical="center" indent="1"/>
    </xf>
    <xf numFmtId="0" fontId="82" fillId="5" borderId="36" xfId="17" applyFont="1" applyFill="1" applyBorder="1" applyAlignment="1">
      <alignment horizontal="right" vertical="center"/>
    </xf>
    <xf numFmtId="0" fontId="83" fillId="5" borderId="59" xfId="17" applyFont="1" applyFill="1" applyBorder="1" applyAlignment="1">
      <alignment horizontal="left" vertical="center" indent="1"/>
    </xf>
    <xf numFmtId="165" fontId="19" fillId="5" borderId="60" xfId="11" applyFont="1" applyFill="1" applyBorder="1" applyAlignment="1" applyProtection="1">
      <alignment horizontal="center" vertical="center"/>
    </xf>
    <xf numFmtId="0" fontId="19" fillId="5" borderId="60" xfId="17" applyFont="1" applyFill="1" applyBorder="1" applyAlignment="1">
      <alignment horizontal="center" vertical="center"/>
    </xf>
    <xf numFmtId="0" fontId="84" fillId="5" borderId="61" xfId="17" applyFont="1" applyFill="1" applyBorder="1" applyAlignment="1">
      <alignment horizontal="center" vertical="center"/>
    </xf>
    <xf numFmtId="165" fontId="82" fillId="5" borderId="60" xfId="2" applyNumberFormat="1" applyFont="1" applyFill="1" applyBorder="1" applyAlignment="1" applyProtection="1">
      <alignment vertical="center"/>
    </xf>
    <xf numFmtId="165" fontId="82" fillId="5" borderId="62" xfId="2" applyNumberFormat="1" applyFont="1" applyFill="1" applyBorder="1" applyAlignment="1" applyProtection="1">
      <alignment horizontal="right" vertical="center"/>
    </xf>
    <xf numFmtId="10" fontId="82" fillId="5" borderId="63" xfId="3" applyNumberFormat="1" applyFont="1" applyFill="1" applyBorder="1" applyAlignment="1" applyProtection="1">
      <alignment horizontal="center" vertical="center"/>
    </xf>
    <xf numFmtId="165" fontId="82" fillId="5" borderId="64" xfId="2" applyNumberFormat="1" applyFont="1" applyFill="1" applyBorder="1" applyAlignment="1" applyProtection="1">
      <alignment vertical="center"/>
    </xf>
    <xf numFmtId="165" fontId="82" fillId="5" borderId="62" xfId="2" applyNumberFormat="1" applyFont="1" applyFill="1" applyBorder="1" applyAlignment="1" applyProtection="1">
      <alignment vertical="center"/>
    </xf>
    <xf numFmtId="0" fontId="82" fillId="5" borderId="65" xfId="17" applyFont="1" applyFill="1" applyBorder="1" applyAlignment="1">
      <alignment horizontal="right" vertical="center" indent="1"/>
    </xf>
    <xf numFmtId="0" fontId="82" fillId="5" borderId="61" xfId="17" applyFont="1" applyFill="1" applyBorder="1" applyAlignment="1">
      <alignment horizontal="right" vertical="center"/>
    </xf>
    <xf numFmtId="0" fontId="12" fillId="6" borderId="47" xfId="17" applyFont="1" applyFill="1" applyBorder="1" applyAlignment="1">
      <alignment horizontal="center" vertical="center"/>
    </xf>
    <xf numFmtId="165" fontId="12" fillId="6" borderId="47" xfId="2" applyFont="1" applyFill="1" applyBorder="1" applyAlignment="1" applyProtection="1">
      <alignment horizontal="center" vertical="center"/>
    </xf>
    <xf numFmtId="0" fontId="50" fillId="6" borderId="52" xfId="17" applyFont="1" applyFill="1" applyBorder="1" applyAlignment="1">
      <alignment horizontal="center" vertical="center"/>
    </xf>
    <xf numFmtId="165" fontId="12" fillId="6" borderId="47" xfId="2" applyNumberFormat="1" applyFont="1" applyFill="1" applyBorder="1" applyAlignment="1" applyProtection="1">
      <alignment vertical="center"/>
    </xf>
    <xf numFmtId="0" fontId="12" fillId="6" borderId="51" xfId="17" applyFont="1" applyFill="1" applyBorder="1" applyAlignment="1">
      <alignment horizontal="right" vertical="center" indent="1"/>
    </xf>
    <xf numFmtId="0" fontId="12" fillId="6" borderId="52" xfId="17" applyFont="1" applyFill="1" applyBorder="1" applyAlignment="1">
      <alignment horizontal="right" vertical="center"/>
    </xf>
    <xf numFmtId="170" fontId="12" fillId="0" borderId="0" xfId="2" applyNumberFormat="1" applyFont="1" applyFill="1" applyBorder="1" applyAlignment="1" applyProtection="1"/>
    <xf numFmtId="0" fontId="12" fillId="6" borderId="54" xfId="17" applyFont="1" applyFill="1" applyBorder="1" applyAlignment="1">
      <alignment horizontal="center" vertical="center"/>
    </xf>
    <xf numFmtId="165" fontId="12" fillId="6" borderId="54" xfId="2" applyNumberFormat="1" applyFont="1" applyFill="1" applyBorder="1" applyAlignment="1" applyProtection="1">
      <alignment vertical="center"/>
    </xf>
    <xf numFmtId="0" fontId="12" fillId="6" borderId="58" xfId="17" applyFont="1" applyFill="1" applyBorder="1" applyAlignment="1">
      <alignment horizontal="right" vertical="center" indent="1"/>
    </xf>
    <xf numFmtId="0" fontId="12" fillId="6" borderId="66" xfId="17" applyFont="1" applyFill="1" applyBorder="1" applyAlignment="1">
      <alignment horizontal="right" vertical="center"/>
    </xf>
    <xf numFmtId="0" fontId="0" fillId="6" borderId="0" xfId="17" applyFont="1" applyFill="1" applyBorder="1" applyAlignment="1">
      <alignment horizontal="center"/>
    </xf>
    <xf numFmtId="165" fontId="0" fillId="6" borderId="0" xfId="2" applyFont="1" applyFill="1" applyBorder="1" applyAlignment="1" applyProtection="1">
      <alignment horizontal="center"/>
    </xf>
    <xf numFmtId="165" fontId="0" fillId="6" borderId="0" xfId="2" applyNumberFormat="1" applyFont="1" applyFill="1" applyBorder="1" applyAlignment="1" applyProtection="1"/>
    <xf numFmtId="10" fontId="0" fillId="6" borderId="0" xfId="3" applyNumberFormat="1" applyFont="1" applyFill="1" applyBorder="1" applyAlignment="1" applyProtection="1"/>
    <xf numFmtId="165" fontId="0" fillId="6" borderId="0" xfId="17" applyNumberFormat="1" applyFont="1" applyFill="1" applyBorder="1"/>
    <xf numFmtId="10" fontId="0" fillId="6" borderId="0" xfId="3" applyNumberFormat="1" applyFont="1" applyFill="1" applyBorder="1" applyAlignment="1" applyProtection="1">
      <alignment horizontal="center" vertical="center"/>
    </xf>
    <xf numFmtId="0" fontId="0" fillId="6" borderId="25" xfId="17" applyFont="1" applyFill="1" applyBorder="1" applyAlignment="1">
      <alignment horizontal="right" indent="1"/>
    </xf>
    <xf numFmtId="0" fontId="0" fillId="6" borderId="36" xfId="17" applyFont="1" applyFill="1" applyBorder="1" applyAlignment="1">
      <alignment horizontal="right"/>
    </xf>
    <xf numFmtId="0" fontId="0" fillId="6" borderId="0" xfId="17" applyFont="1" applyFill="1" applyBorder="1" applyAlignment="1">
      <alignment horizontal="left"/>
    </xf>
    <xf numFmtId="0" fontId="15" fillId="6" borderId="0" xfId="17" applyFont="1" applyFill="1" applyBorder="1" applyAlignment="1">
      <alignment horizontal="left"/>
    </xf>
    <xf numFmtId="165" fontId="0" fillId="6" borderId="0" xfId="2" applyFont="1" applyFill="1" applyBorder="1" applyAlignment="1" applyProtection="1"/>
    <xf numFmtId="0" fontId="0" fillId="6" borderId="0" xfId="17" applyFont="1" applyFill="1" applyBorder="1"/>
    <xf numFmtId="170" fontId="0" fillId="6" borderId="0" xfId="17" applyNumberFormat="1" applyFont="1" applyFill="1"/>
    <xf numFmtId="165" fontId="12" fillId="6" borderId="0" xfId="17" applyNumberFormat="1" applyFont="1" applyFill="1" applyBorder="1" applyAlignment="1">
      <alignment horizontal="center" vertical="center"/>
    </xf>
    <xf numFmtId="0" fontId="12" fillId="6" borderId="31" xfId="1" applyNumberFormat="1" applyFont="1" applyFill="1" applyBorder="1" applyAlignment="1" applyProtection="1">
      <alignment horizontal="right" vertical="center" indent="1"/>
    </xf>
    <xf numFmtId="2" fontId="12" fillId="6" borderId="37" xfId="1" applyNumberFormat="1" applyFont="1" applyFill="1" applyBorder="1" applyAlignment="1" applyProtection="1">
      <alignment horizontal="right" vertical="center"/>
    </xf>
    <xf numFmtId="164" fontId="12" fillId="0" borderId="35" xfId="1" applyFont="1" applyFill="1" applyBorder="1" applyAlignment="1" applyProtection="1">
      <alignment horizontal="center"/>
    </xf>
    <xf numFmtId="10" fontId="12" fillId="0" borderId="35" xfId="17" applyNumberFormat="1" applyFont="1" applyFill="1" applyBorder="1"/>
    <xf numFmtId="166" fontId="50" fillId="0" borderId="35" xfId="1" applyNumberFormat="1" applyFont="1" applyFill="1" applyBorder="1" applyAlignment="1" applyProtection="1"/>
    <xf numFmtId="173" fontId="50" fillId="0" borderId="35" xfId="1" applyNumberFormat="1" applyFont="1" applyFill="1" applyBorder="1" applyAlignment="1" applyProtection="1"/>
    <xf numFmtId="164" fontId="50" fillId="0" borderId="35" xfId="1" applyNumberFormat="1" applyFont="1" applyFill="1" applyBorder="1" applyAlignment="1" applyProtection="1"/>
    <xf numFmtId="170" fontId="50" fillId="0" borderId="35" xfId="17" applyNumberFormat="1" applyFont="1" applyFill="1" applyBorder="1"/>
    <xf numFmtId="164" fontId="50" fillId="0" borderId="35" xfId="17" applyNumberFormat="1" applyFont="1" applyFill="1" applyBorder="1"/>
    <xf numFmtId="0" fontId="12" fillId="6" borderId="0" xfId="17" applyFont="1" applyFill="1" applyBorder="1" applyAlignment="1">
      <alignment horizontal="left"/>
    </xf>
    <xf numFmtId="0" fontId="0" fillId="6" borderId="0" xfId="17" applyFont="1" applyFill="1"/>
    <xf numFmtId="0" fontId="0" fillId="6" borderId="0" xfId="17" applyFont="1" applyFill="1" applyAlignment="1">
      <alignment horizontal="center"/>
    </xf>
    <xf numFmtId="0" fontId="0" fillId="6" borderId="0" xfId="17" applyFont="1" applyFill="1" applyAlignment="1">
      <alignment horizontal="center" vertical="center"/>
    </xf>
    <xf numFmtId="170" fontId="85" fillId="0" borderId="0" xfId="17" applyNumberFormat="1" applyFont="1" applyFill="1" applyAlignment="1">
      <alignment horizontal="right"/>
    </xf>
    <xf numFmtId="170" fontId="50" fillId="0" borderId="38" xfId="17" applyNumberFormat="1" applyFont="1" applyFill="1" applyBorder="1"/>
    <xf numFmtId="164" fontId="50" fillId="0" borderId="38" xfId="17" applyNumberFormat="1" applyFont="1" applyFill="1" applyBorder="1"/>
    <xf numFmtId="0" fontId="81" fillId="0" borderId="0" xfId="17" applyFont="1" applyFill="1" applyBorder="1" applyAlignment="1">
      <alignment horizontal="right" vertical="center" indent="1"/>
    </xf>
    <xf numFmtId="0" fontId="86" fillId="0" borderId="0" xfId="17" applyFont="1" applyFill="1" applyAlignment="1">
      <alignment horizontal="center"/>
    </xf>
    <xf numFmtId="0" fontId="87" fillId="0" borderId="0" xfId="0" applyFont="1" applyAlignment="1">
      <alignment horizontal="center" vertical="center"/>
    </xf>
    <xf numFmtId="0" fontId="0" fillId="0" borderId="0" xfId="17" applyFont="1" applyFill="1" applyAlignment="1">
      <alignment horizontal="right" indent="1"/>
    </xf>
    <xf numFmtId="0" fontId="50" fillId="0" borderId="0" xfId="17" applyFont="1" applyFill="1" applyAlignment="1">
      <alignment horizontal="right"/>
    </xf>
    <xf numFmtId="165" fontId="12" fillId="0" borderId="0" xfId="17" applyNumberFormat="1" applyFont="1"/>
    <xf numFmtId="0" fontId="12" fillId="0" borderId="0" xfId="17" applyFont="1" applyFill="1" applyAlignment="1">
      <alignment horizontal="right"/>
    </xf>
    <xf numFmtId="170" fontId="12" fillId="0" borderId="16" xfId="17" applyNumberFormat="1" applyFont="1" applyFill="1" applyBorder="1"/>
    <xf numFmtId="192" fontId="12" fillId="0" borderId="0" xfId="17" applyNumberFormat="1" applyFont="1" applyFill="1"/>
    <xf numFmtId="165" fontId="0" fillId="0" borderId="0" xfId="2" applyFont="1" applyFill="1" applyBorder="1" applyAlignment="1" applyProtection="1">
      <alignment horizontal="right"/>
    </xf>
    <xf numFmtId="192" fontId="0" fillId="0" borderId="0" xfId="17" applyNumberFormat="1" applyFont="1" applyFill="1" applyAlignment="1">
      <alignment horizontal="center"/>
    </xf>
    <xf numFmtId="164" fontId="62" fillId="0" borderId="0" xfId="0" applyNumberFormat="1" applyFont="1"/>
    <xf numFmtId="0" fontId="88" fillId="0" borderId="0" xfId="0" applyFont="1" applyAlignment="1">
      <alignment horizontal="left"/>
    </xf>
    <xf numFmtId="164" fontId="62" fillId="0" borderId="0" xfId="0" applyNumberFormat="1" applyFont="1" applyBorder="1"/>
    <xf numFmtId="168" fontId="40" fillId="0" borderId="0" xfId="0" applyNumberFormat="1" applyFont="1"/>
    <xf numFmtId="0" fontId="57" fillId="17" borderId="4" xfId="0" applyFont="1" applyFill="1" applyBorder="1" applyAlignment="1">
      <alignment horizontal="left"/>
    </xf>
    <xf numFmtId="168" fontId="88" fillId="0" borderId="0" xfId="0" applyNumberFormat="1" applyFont="1" applyAlignment="1">
      <alignment horizontal="left"/>
    </xf>
    <xf numFmtId="0" fontId="40" fillId="0" borderId="0" xfId="0" applyFont="1" applyAlignment="1">
      <alignment horizontal="right"/>
    </xf>
    <xf numFmtId="0" fontId="40" fillId="0" borderId="0" xfId="0" applyFont="1" applyAlignment="1">
      <alignment horizontal="left"/>
    </xf>
    <xf numFmtId="0" fontId="0" fillId="17" borderId="4" xfId="0" applyFont="1" applyFill="1" applyBorder="1" applyAlignment="1">
      <alignment horizontal="center"/>
    </xf>
    <xf numFmtId="0" fontId="40" fillId="5" borderId="0" xfId="0" applyFont="1" applyFill="1"/>
    <xf numFmtId="167" fontId="40" fillId="0" borderId="0" xfId="0" applyNumberFormat="1" applyFont="1" applyAlignment="1">
      <alignment horizontal="left"/>
    </xf>
    <xf numFmtId="0" fontId="40" fillId="0" borderId="0" xfId="0" applyNumberFormat="1" applyFont="1" applyAlignment="1">
      <alignment horizontal="left"/>
    </xf>
    <xf numFmtId="0" fontId="40" fillId="14" borderId="0" xfId="0" applyFont="1" applyFill="1"/>
    <xf numFmtId="164" fontId="40" fillId="0" borderId="0" xfId="1" applyFont="1" applyFill="1" applyBorder="1" applyAlignment="1" applyProtection="1"/>
    <xf numFmtId="0" fontId="44" fillId="0" borderId="0" xfId="0" applyNumberFormat="1" applyFont="1" applyAlignment="1">
      <alignment horizontal="left" vertical="center"/>
    </xf>
    <xf numFmtId="169" fontId="89" fillId="0" borderId="0" xfId="0" applyNumberFormat="1" applyFont="1" applyAlignment="1">
      <alignment horizontal="center" vertical="center"/>
    </xf>
    <xf numFmtId="188" fontId="40" fillId="0" borderId="0" xfId="0" applyNumberFormat="1" applyFont="1"/>
    <xf numFmtId="164" fontId="40" fillId="0" borderId="0" xfId="1" applyFont="1" applyFill="1" applyBorder="1" applyAlignment="1" applyProtection="1">
      <alignment horizontal="center" vertical="center"/>
    </xf>
    <xf numFmtId="49" fontId="40" fillId="0" borderId="0" xfId="0" applyNumberFormat="1" applyFont="1"/>
    <xf numFmtId="0" fontId="40" fillId="0" borderId="0" xfId="0" applyNumberFormat="1" applyFont="1"/>
    <xf numFmtId="49" fontId="90" fillId="0" borderId="0" xfId="0" applyNumberFormat="1" applyFont="1" applyBorder="1" applyAlignment="1">
      <alignment horizontal="center"/>
    </xf>
    <xf numFmtId="49" fontId="62" fillId="0" borderId="0" xfId="0" applyNumberFormat="1" applyFont="1" applyBorder="1"/>
    <xf numFmtId="0" fontId="62" fillId="0" borderId="0" xfId="0" applyFont="1" applyBorder="1"/>
    <xf numFmtId="49" fontId="40" fillId="0" borderId="0" xfId="0" applyNumberFormat="1" applyFont="1" applyBorder="1" applyAlignment="1">
      <alignment horizontal="right"/>
    </xf>
    <xf numFmtId="0" fontId="40" fillId="0" borderId="0" xfId="0" applyFont="1" applyBorder="1"/>
    <xf numFmtId="0" fontId="88" fillId="0" borderId="16" xfId="0" applyFont="1" applyBorder="1" applyAlignment="1">
      <alignment horizontal="center" wrapText="1"/>
    </xf>
    <xf numFmtId="49" fontId="62" fillId="0" borderId="0" xfId="0" applyNumberFormat="1" applyFont="1"/>
    <xf numFmtId="0" fontId="88" fillId="0" borderId="16" xfId="0" applyFont="1" applyBorder="1" applyAlignment="1">
      <alignment horizontal="center"/>
    </xf>
    <xf numFmtId="0" fontId="40" fillId="0" borderId="0" xfId="0" applyNumberFormat="1" applyFont="1" applyAlignment="1">
      <alignment horizontal="right"/>
    </xf>
    <xf numFmtId="0" fontId="88" fillId="0" borderId="0" xfId="0" applyFont="1" applyBorder="1" applyAlignment="1">
      <alignment horizontal="center" vertical="center" wrapText="1"/>
    </xf>
    <xf numFmtId="0" fontId="88" fillId="0" borderId="0" xfId="0" applyFont="1" applyAlignment="1">
      <alignment horizontal="center" vertical="center" wrapText="1"/>
    </xf>
    <xf numFmtId="180" fontId="40" fillId="0" borderId="0" xfId="0" applyNumberFormat="1" applyFont="1"/>
    <xf numFmtId="0" fontId="40" fillId="17" borderId="0" xfId="0" applyFont="1" applyFill="1"/>
    <xf numFmtId="0" fontId="40" fillId="17" borderId="3" xfId="0" applyFont="1" applyFill="1" applyBorder="1"/>
    <xf numFmtId="49" fontId="40" fillId="0" borderId="0" xfId="0" applyNumberFormat="1" applyFont="1" applyAlignment="1"/>
    <xf numFmtId="0" fontId="91" fillId="0" borderId="0" xfId="0" applyFont="1" applyAlignment="1">
      <alignment horizontal="left" wrapText="1"/>
    </xf>
    <xf numFmtId="0" fontId="91" fillId="0" borderId="0" xfId="0" applyFont="1" applyAlignment="1">
      <alignment wrapText="1"/>
    </xf>
    <xf numFmtId="0" fontId="40" fillId="17" borderId="0" xfId="0" applyFont="1" applyFill="1" applyBorder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left" indent="1"/>
    </xf>
    <xf numFmtId="178" fontId="40" fillId="0" borderId="0" xfId="0" applyNumberFormat="1" applyFont="1"/>
    <xf numFmtId="0" fontId="40" fillId="0" borderId="0" xfId="0" applyFont="1" applyAlignment="1"/>
    <xf numFmtId="179" fontId="40" fillId="0" borderId="0" xfId="0" applyNumberFormat="1" applyFont="1"/>
    <xf numFmtId="0" fontId="40" fillId="0" borderId="0" xfId="0" applyFont="1" applyAlignment="1">
      <alignment wrapText="1"/>
    </xf>
    <xf numFmtId="49" fontId="40" fillId="0" borderId="0" xfId="0" applyNumberFormat="1" applyFont="1" applyAlignment="1">
      <alignment horizontal="left"/>
    </xf>
    <xf numFmtId="0" fontId="40" fillId="0" borderId="0" xfId="0" applyFont="1" applyAlignment="1">
      <alignment horizontal="left" indent="3"/>
    </xf>
    <xf numFmtId="0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left" indent="4"/>
    </xf>
    <xf numFmtId="49" fontId="40" fillId="0" borderId="0" xfId="0" applyNumberFormat="1" applyFont="1" applyAlignment="1">
      <alignment horizontal="left" wrapText="1"/>
    </xf>
    <xf numFmtId="180" fontId="40" fillId="0" borderId="0" xfId="0" applyNumberFormat="1" applyFont="1" applyBorder="1"/>
    <xf numFmtId="0" fontId="88" fillId="0" borderId="0" xfId="0" applyFont="1" applyAlignment="1">
      <alignment horizontal="left" indent="2"/>
    </xf>
    <xf numFmtId="180" fontId="40" fillId="0" borderId="39" xfId="1" applyNumberFormat="1" applyFont="1" applyFill="1" applyBorder="1" applyAlignment="1" applyProtection="1"/>
    <xf numFmtId="0" fontId="40" fillId="0" borderId="0" xfId="0" applyFont="1" applyFill="1" applyBorder="1"/>
    <xf numFmtId="0" fontId="88" fillId="0" borderId="0" xfId="0" applyFont="1" applyAlignment="1">
      <alignment horizontal="left" indent="1"/>
    </xf>
    <xf numFmtId="0" fontId="88" fillId="0" borderId="67" xfId="0" applyFont="1" applyBorder="1"/>
    <xf numFmtId="0" fontId="40" fillId="0" borderId="38" xfId="0" applyFont="1" applyBorder="1"/>
    <xf numFmtId="178" fontId="88" fillId="0" borderId="38" xfId="0" applyNumberFormat="1" applyFont="1" applyBorder="1"/>
    <xf numFmtId="180" fontId="40" fillId="0" borderId="38" xfId="0" applyNumberFormat="1" applyFont="1" applyBorder="1"/>
    <xf numFmtId="180" fontId="88" fillId="0" borderId="38" xfId="0" applyNumberFormat="1" applyFont="1" applyBorder="1"/>
    <xf numFmtId="178" fontId="88" fillId="0" borderId="68" xfId="0" applyNumberFormat="1" applyFont="1" applyBorder="1"/>
    <xf numFmtId="0" fontId="88" fillId="0" borderId="0" xfId="0" applyFont="1"/>
    <xf numFmtId="0" fontId="91" fillId="0" borderId="0" xfId="0" applyFont="1"/>
    <xf numFmtId="180" fontId="40" fillId="0" borderId="39" xfId="0" applyNumberFormat="1" applyFont="1" applyBorder="1"/>
    <xf numFmtId="0" fontId="88" fillId="0" borderId="40" xfId="0" applyFont="1" applyFill="1" applyBorder="1"/>
    <xf numFmtId="0" fontId="40" fillId="0" borderId="39" xfId="0" applyFont="1" applyBorder="1"/>
    <xf numFmtId="178" fontId="88" fillId="0" borderId="39" xfId="0" applyNumberFormat="1" applyFont="1" applyBorder="1"/>
    <xf numFmtId="180" fontId="88" fillId="0" borderId="39" xfId="0" applyNumberFormat="1" applyFont="1" applyBorder="1"/>
    <xf numFmtId="178" fontId="88" fillId="0" borderId="41" xfId="0" applyNumberFormat="1" applyFont="1" applyBorder="1"/>
    <xf numFmtId="0" fontId="88" fillId="0" borderId="0" xfId="0" applyFont="1" applyFill="1"/>
    <xf numFmtId="0" fontId="40" fillId="0" borderId="0" xfId="0" applyFont="1" applyAlignment="1">
      <alignment horizontal="center" wrapText="1"/>
    </xf>
    <xf numFmtId="0" fontId="91" fillId="0" borderId="0" xfId="0" applyFont="1" applyFill="1"/>
    <xf numFmtId="164" fontId="40" fillId="5" borderId="0" xfId="0" applyNumberFormat="1" applyFont="1" applyFill="1"/>
    <xf numFmtId="164" fontId="40" fillId="0" borderId="0" xfId="0" applyNumberFormat="1" applyFont="1" applyFill="1"/>
    <xf numFmtId="0" fontId="92" fillId="0" borderId="0" xfId="0" applyFont="1"/>
    <xf numFmtId="178" fontId="40" fillId="0" borderId="0" xfId="0" applyNumberFormat="1" applyFont="1" applyFill="1"/>
    <xf numFmtId="180" fontId="40" fillId="0" borderId="0" xfId="0" applyNumberFormat="1" applyFont="1" applyFill="1"/>
    <xf numFmtId="180" fontId="40" fillId="0" borderId="0" xfId="0" applyNumberFormat="1" applyFont="1" applyAlignment="1">
      <alignment horizontal="left"/>
    </xf>
    <xf numFmtId="2" fontId="40" fillId="0" borderId="0" xfId="0" applyNumberFormat="1" applyFont="1"/>
    <xf numFmtId="0" fontId="37" fillId="0" borderId="0" xfId="0" applyFont="1" applyAlignment="1">
      <alignment wrapText="1"/>
    </xf>
    <xf numFmtId="0" fontId="87" fillId="0" borderId="0" xfId="0" applyFont="1" applyAlignment="1">
      <alignment horizontal="center"/>
    </xf>
    <xf numFmtId="0" fontId="87" fillId="0" borderId="0" xfId="0" applyFont="1"/>
    <xf numFmtId="0" fontId="65" fillId="0" borderId="0" xfId="0" applyFont="1" applyAlignment="1">
      <alignment horizontal="left" indent="1"/>
    </xf>
    <xf numFmtId="180" fontId="87" fillId="0" borderId="0" xfId="0" applyNumberFormat="1" applyFont="1"/>
    <xf numFmtId="0" fontId="87" fillId="0" borderId="0" xfId="0" applyFont="1" applyAlignment="1">
      <alignment horizontal="left" indent="2"/>
    </xf>
    <xf numFmtId="2" fontId="87" fillId="0" borderId="0" xfId="0" applyNumberFormat="1" applyFont="1"/>
    <xf numFmtId="0" fontId="93" fillId="0" borderId="0" xfId="0" applyFont="1" applyAlignment="1">
      <alignment horizontal="left" indent="1"/>
    </xf>
    <xf numFmtId="164" fontId="37" fillId="0" borderId="0" xfId="1" applyFont="1" applyFill="1" applyBorder="1" applyAlignment="1" applyProtection="1"/>
    <xf numFmtId="0" fontId="65" fillId="3" borderId="0" xfId="0" applyFont="1" applyFill="1" applyAlignment="1">
      <alignment horizontal="left" indent="1"/>
    </xf>
    <xf numFmtId="0" fontId="87" fillId="3" borderId="0" xfId="0" applyFont="1" applyFill="1"/>
    <xf numFmtId="2" fontId="87" fillId="3" borderId="0" xfId="0" applyNumberFormat="1" applyFont="1" applyFill="1"/>
    <xf numFmtId="180" fontId="87" fillId="3" borderId="0" xfId="0" applyNumberFormat="1" applyFont="1" applyFill="1"/>
    <xf numFmtId="0" fontId="37" fillId="0" borderId="0" xfId="0" applyFont="1" applyAlignment="1">
      <alignment horizontal="left" wrapText="1"/>
    </xf>
    <xf numFmtId="0" fontId="87" fillId="0" borderId="0" xfId="0" applyNumberFormat="1" applyFont="1"/>
    <xf numFmtId="180" fontId="87" fillId="0" borderId="0" xfId="0" applyNumberFormat="1" applyFont="1" applyFill="1"/>
    <xf numFmtId="0" fontId="87" fillId="0" borderId="0" xfId="0" applyFont="1" applyFill="1" applyAlignment="1">
      <alignment horizontal="center"/>
    </xf>
    <xf numFmtId="0" fontId="87" fillId="0" borderId="0" xfId="0" applyFont="1" applyFill="1" applyAlignment="1">
      <alignment horizontal="left" indent="2"/>
    </xf>
    <xf numFmtId="0" fontId="87" fillId="0" borderId="0" xfId="0" applyNumberFormat="1" applyFont="1" applyAlignment="1">
      <alignment horizontal="left"/>
    </xf>
    <xf numFmtId="180" fontId="87" fillId="0" borderId="0" xfId="0" applyNumberFormat="1" applyFont="1" applyAlignment="1">
      <alignment horizontal="left"/>
    </xf>
    <xf numFmtId="0" fontId="65" fillId="3" borderId="0" xfId="0" applyFont="1" applyFill="1" applyAlignment="1">
      <alignment horizontal="left" indent="2"/>
    </xf>
    <xf numFmtId="0" fontId="87" fillId="3" borderId="0" xfId="0" applyNumberFormat="1" applyFont="1" applyFill="1" applyAlignment="1">
      <alignment horizontal="left"/>
    </xf>
    <xf numFmtId="180" fontId="87" fillId="3" borderId="0" xfId="0" applyNumberFormat="1" applyFont="1" applyFill="1" applyAlignment="1">
      <alignment horizontal="left"/>
    </xf>
    <xf numFmtId="2" fontId="87" fillId="0" borderId="0" xfId="0" applyNumberFormat="1" applyFont="1" applyFill="1"/>
    <xf numFmtId="0" fontId="87" fillId="3" borderId="0" xfId="0" applyFont="1" applyFill="1" applyAlignment="1">
      <alignment horizontal="left" indent="2"/>
    </xf>
    <xf numFmtId="0" fontId="40" fillId="20" borderId="0" xfId="0" applyFont="1" applyFill="1" applyBorder="1" applyAlignment="1">
      <alignment horizontal="left" wrapText="1"/>
    </xf>
    <xf numFmtId="166" fontId="40" fillId="0" borderId="0" xfId="1" applyNumberFormat="1" applyFont="1" applyFill="1" applyBorder="1" applyAlignment="1" applyProtection="1"/>
    <xf numFmtId="180" fontId="40" fillId="0" borderId="0" xfId="1" applyNumberFormat="1" applyFont="1" applyFill="1" applyBorder="1" applyAlignment="1" applyProtection="1"/>
    <xf numFmtId="0" fontId="40" fillId="0" borderId="0" xfId="0" applyFont="1" applyFill="1"/>
    <xf numFmtId="164" fontId="40" fillId="5" borderId="0" xfId="1" applyFont="1" applyFill="1" applyBorder="1" applyAlignment="1" applyProtection="1"/>
    <xf numFmtId="177" fontId="40" fillId="0" borderId="0" xfId="0" applyNumberFormat="1" applyFont="1"/>
    <xf numFmtId="0" fontId="92" fillId="0" borderId="0" xfId="0" applyFont="1" applyBorder="1"/>
    <xf numFmtId="177" fontId="40" fillId="0" borderId="0" xfId="0" applyNumberFormat="1" applyFont="1" applyBorder="1"/>
    <xf numFmtId="177" fontId="40" fillId="0" borderId="39" xfId="0" applyNumberFormat="1" applyFont="1" applyBorder="1"/>
    <xf numFmtId="0" fontId="88" fillId="0" borderId="38" xfId="0" applyFont="1" applyFill="1" applyBorder="1"/>
    <xf numFmtId="180" fontId="88" fillId="0" borderId="38" xfId="0" applyNumberFormat="1" applyFont="1" applyFill="1" applyBorder="1"/>
    <xf numFmtId="0" fontId="40" fillId="0" borderId="16" xfId="0" applyFont="1" applyBorder="1"/>
    <xf numFmtId="180" fontId="40" fillId="0" borderId="16" xfId="0" applyNumberFormat="1" applyFont="1" applyBorder="1"/>
    <xf numFmtId="0" fontId="88" fillId="0" borderId="5" xfId="0" applyFont="1" applyBorder="1"/>
    <xf numFmtId="180" fontId="40" fillId="0" borderId="7" xfId="0" applyNumberFormat="1" applyFont="1" applyBorder="1"/>
    <xf numFmtId="0" fontId="88" fillId="0" borderId="69" xfId="0" applyFont="1" applyFill="1" applyBorder="1" applyAlignment="1">
      <alignment horizontal="left" indent="3"/>
    </xf>
    <xf numFmtId="0" fontId="40" fillId="0" borderId="43" xfId="0" applyFont="1" applyBorder="1"/>
    <xf numFmtId="178" fontId="88" fillId="0" borderId="43" xfId="0" applyNumberFormat="1" applyFont="1" applyBorder="1"/>
    <xf numFmtId="180" fontId="40" fillId="0" borderId="43" xfId="0" applyNumberFormat="1" applyFont="1" applyBorder="1"/>
    <xf numFmtId="180" fontId="88" fillId="0" borderId="43" xfId="0" applyNumberFormat="1" applyFont="1" applyBorder="1"/>
    <xf numFmtId="178" fontId="88" fillId="0" borderId="70" xfId="0" applyNumberFormat="1" applyFont="1" applyBorder="1"/>
    <xf numFmtId="180" fontId="88" fillId="17" borderId="3" xfId="0" applyNumberFormat="1" applyFont="1" applyFill="1" applyBorder="1" applyAlignment="1">
      <alignment horizontal="center" vertical="center" wrapText="1"/>
    </xf>
    <xf numFmtId="180" fontId="88" fillId="0" borderId="0" xfId="0" applyNumberFormat="1" applyFont="1" applyFill="1" applyBorder="1" applyAlignment="1">
      <alignment horizontal="center" vertical="center" wrapText="1"/>
    </xf>
    <xf numFmtId="180" fontId="40" fillId="0" borderId="0" xfId="0" applyNumberFormat="1" applyFont="1" applyFill="1" applyBorder="1" applyAlignment="1">
      <alignment horizontal="center" vertical="center" wrapText="1"/>
    </xf>
    <xf numFmtId="180" fontId="88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 indent="2"/>
    </xf>
    <xf numFmtId="166" fontId="3" fillId="20" borderId="0" xfId="1" applyNumberFormat="1" applyFont="1" applyFill="1" applyBorder="1" applyAlignment="1" applyProtection="1"/>
    <xf numFmtId="166" fontId="11" fillId="0" borderId="39" xfId="1" applyNumberFormat="1" applyFont="1" applyFill="1" applyBorder="1" applyAlignment="1" applyProtection="1"/>
    <xf numFmtId="166" fontId="11" fillId="0" borderId="0" xfId="1" applyNumberFormat="1" applyFont="1" applyFill="1" applyBorder="1" applyAlignment="1" applyProtection="1"/>
    <xf numFmtId="0" fontId="3" fillId="3" borderId="0" xfId="0" applyFont="1" applyFill="1" applyAlignment="1">
      <alignment horizontal="left" indent="2"/>
    </xf>
    <xf numFmtId="166" fontId="3" fillId="3" borderId="0" xfId="1" applyNumberFormat="1" applyFont="1" applyFill="1" applyBorder="1" applyAlignment="1" applyProtection="1"/>
    <xf numFmtId="0" fontId="3" fillId="0" borderId="0" xfId="0" applyFont="1" applyAlignment="1">
      <alignment horizontal="left" indent="3"/>
    </xf>
    <xf numFmtId="193" fontId="3" fillId="20" borderId="0" xfId="3" applyNumberFormat="1" applyFont="1" applyFill="1" applyBorder="1" applyAlignment="1" applyProtection="1"/>
    <xf numFmtId="193" fontId="3" fillId="0" borderId="0" xfId="3" applyNumberFormat="1" applyFont="1" applyFill="1" applyBorder="1" applyAlignment="1" applyProtection="1"/>
    <xf numFmtId="193" fontId="3" fillId="0" borderId="0" xfId="0" applyNumberFormat="1" applyFont="1"/>
    <xf numFmtId="0" fontId="3" fillId="0" borderId="0" xfId="0" applyFont="1" applyAlignment="1">
      <alignment horizontal="left" wrapText="1" indent="2"/>
    </xf>
    <xf numFmtId="0" fontId="11" fillId="0" borderId="0" xfId="0" applyFont="1" applyAlignment="1">
      <alignment horizontal="left"/>
    </xf>
    <xf numFmtId="166" fontId="3" fillId="0" borderId="38" xfId="1" applyNumberFormat="1" applyFont="1" applyFill="1" applyBorder="1" applyAlignment="1" applyProtection="1"/>
    <xf numFmtId="0" fontId="0" fillId="0" borderId="0" xfId="0" applyFont="1" applyFill="1"/>
    <xf numFmtId="0" fontId="4" fillId="0" borderId="0" xfId="17" applyFont="1" applyFill="1" applyAlignment="1" applyProtection="1">
      <alignment horizontal="center"/>
    </xf>
    <xf numFmtId="0" fontId="0" fillId="0" borderId="0" xfId="17" applyFont="1" applyFill="1" applyAlignment="1" applyProtection="1">
      <alignment horizontal="center"/>
    </xf>
    <xf numFmtId="10" fontId="0" fillId="0" borderId="0" xfId="17" applyNumberFormat="1" applyFont="1" applyFill="1" applyAlignment="1" applyProtection="1">
      <alignment horizontal="center" vertical="center"/>
    </xf>
    <xf numFmtId="0" fontId="0" fillId="0" borderId="0" xfId="17" applyFont="1" applyFill="1" applyProtection="1"/>
    <xf numFmtId="0" fontId="0" fillId="0" borderId="0" xfId="17" applyFont="1" applyFill="1" applyBorder="1" applyProtection="1"/>
    <xf numFmtId="186" fontId="0" fillId="0" borderId="0" xfId="17" applyNumberFormat="1" applyFont="1" applyFill="1" applyProtection="1"/>
    <xf numFmtId="186" fontId="0" fillId="0" borderId="0" xfId="17" applyNumberFormat="1" applyFont="1" applyFill="1" applyBorder="1" applyProtection="1"/>
    <xf numFmtId="186" fontId="4" fillId="0" borderId="0" xfId="17" applyNumberFormat="1" applyFont="1" applyFill="1" applyBorder="1" applyAlignment="1" applyProtection="1">
      <alignment horizontal="center"/>
    </xf>
    <xf numFmtId="186" fontId="0" fillId="0" borderId="0" xfId="17" applyNumberFormat="1" applyFont="1" applyFill="1" applyBorder="1" applyAlignment="1" applyProtection="1"/>
    <xf numFmtId="0" fontId="48" fillId="0" borderId="0" xfId="17" applyFont="1" applyFill="1" applyBorder="1" applyAlignment="1"/>
    <xf numFmtId="186" fontId="4" fillId="0" borderId="0" xfId="17" applyNumberFormat="1" applyFont="1" applyFill="1" applyBorder="1" applyProtection="1"/>
    <xf numFmtId="186" fontId="0" fillId="0" borderId="0" xfId="2" applyNumberFormat="1" applyFont="1" applyFill="1" applyBorder="1" applyAlignment="1" applyProtection="1"/>
    <xf numFmtId="186" fontId="4" fillId="0" borderId="0" xfId="17" applyNumberFormat="1" applyFont="1" applyFill="1" applyAlignment="1" applyProtection="1">
      <alignment horizontal="center"/>
    </xf>
    <xf numFmtId="171" fontId="73" fillId="0" borderId="0" xfId="2" applyNumberFormat="1" applyFont="1" applyFill="1" applyBorder="1" applyAlignment="1" applyProtection="1"/>
    <xf numFmtId="166" fontId="0" fillId="0" borderId="0" xfId="1" applyNumberFormat="1" applyFont="1" applyFill="1" applyBorder="1" applyAlignment="1" applyProtection="1">
      <alignment vertical="center"/>
    </xf>
    <xf numFmtId="0" fontId="0" fillId="0" borderId="0" xfId="17" applyFont="1" applyFill="1" applyAlignment="1" applyProtection="1">
      <alignment vertical="center"/>
    </xf>
    <xf numFmtId="166" fontId="0" fillId="0" borderId="0" xfId="1" applyNumberFormat="1" applyFont="1" applyFill="1" applyBorder="1" applyAlignment="1" applyProtection="1">
      <alignment horizontal="center" vertical="center"/>
    </xf>
    <xf numFmtId="0" fontId="0" fillId="0" borderId="0" xfId="17" applyFont="1" applyFill="1" applyBorder="1" applyAlignment="1" applyProtection="1">
      <alignment vertical="center"/>
    </xf>
    <xf numFmtId="186" fontId="4" fillId="0" borderId="0" xfId="17" applyNumberFormat="1" applyFont="1" applyFill="1" applyBorder="1" applyAlignment="1" applyProtection="1">
      <alignment horizontal="center" vertical="center"/>
    </xf>
    <xf numFmtId="0" fontId="12" fillId="6" borderId="18" xfId="17" applyFont="1" applyFill="1" applyBorder="1" applyAlignment="1" applyProtection="1">
      <alignment vertical="center"/>
    </xf>
    <xf numFmtId="0" fontId="12" fillId="6" borderId="1" xfId="17" applyFont="1" applyFill="1" applyBorder="1" applyAlignment="1" applyProtection="1">
      <alignment vertical="center"/>
    </xf>
    <xf numFmtId="0" fontId="0" fillId="0" borderId="0" xfId="17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>
      <alignment horizontal="center"/>
    </xf>
    <xf numFmtId="0" fontId="12" fillId="6" borderId="18" xfId="17" applyFont="1" applyFill="1" applyBorder="1" applyAlignment="1" applyProtection="1">
      <alignment horizontal="center"/>
    </xf>
    <xf numFmtId="0" fontId="50" fillId="6" borderId="21" xfId="17" applyFont="1" applyFill="1" applyBorder="1" applyAlignment="1" applyProtection="1">
      <alignment horizontal="center"/>
    </xf>
    <xf numFmtId="0" fontId="50" fillId="6" borderId="22" xfId="17" applyFont="1" applyFill="1" applyBorder="1" applyAlignment="1" applyProtection="1">
      <alignment horizontal="center"/>
    </xf>
    <xf numFmtId="0" fontId="12" fillId="6" borderId="24" xfId="17" applyFont="1" applyFill="1" applyBorder="1" applyAlignment="1" applyProtection="1">
      <alignment horizontal="center"/>
    </xf>
    <xf numFmtId="0" fontId="12" fillId="6" borderId="25" xfId="17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86" fontId="4" fillId="5" borderId="1" xfId="2" applyNumberFormat="1" applyFont="1" applyFill="1" applyBorder="1" applyAlignment="1" applyProtection="1">
      <alignment horizontal="center" vertical="center"/>
    </xf>
    <xf numFmtId="186" fontId="4" fillId="0" borderId="0" xfId="2" applyNumberFormat="1" applyFont="1" applyFill="1" applyBorder="1" applyAlignment="1" applyProtection="1">
      <alignment horizontal="center"/>
    </xf>
    <xf numFmtId="0" fontId="50" fillId="6" borderId="26" xfId="17" applyFont="1" applyFill="1" applyBorder="1" applyAlignment="1" applyProtection="1">
      <alignment horizontal="left" vertical="center"/>
    </xf>
    <xf numFmtId="0" fontId="50" fillId="6" borderId="27" xfId="17" applyFont="1" applyFill="1" applyBorder="1" applyAlignment="1" applyProtection="1">
      <alignment horizontal="center" vertical="center"/>
    </xf>
    <xf numFmtId="0" fontId="50" fillId="6" borderId="28" xfId="17" applyFont="1" applyFill="1" applyBorder="1" applyAlignment="1" applyProtection="1">
      <alignment horizontal="center" vertical="top" wrapText="1"/>
    </xf>
    <xf numFmtId="0" fontId="50" fillId="6" borderId="29" xfId="17" applyFont="1" applyFill="1" applyBorder="1" applyAlignment="1" applyProtection="1">
      <alignment horizontal="center" vertical="top" wrapText="1"/>
    </xf>
    <xf numFmtId="10" fontId="50" fillId="6" borderId="30" xfId="17" applyNumberFormat="1" applyFont="1" applyFill="1" applyBorder="1" applyAlignment="1" applyProtection="1">
      <alignment horizontal="center" vertical="center" wrapText="1"/>
    </xf>
    <xf numFmtId="0" fontId="50" fillId="6" borderId="28" xfId="17" applyFont="1" applyFill="1" applyBorder="1" applyAlignment="1" applyProtection="1">
      <alignment horizontal="center" vertical="center" wrapText="1"/>
    </xf>
    <xf numFmtId="0" fontId="50" fillId="6" borderId="29" xfId="17" applyFont="1" applyFill="1" applyBorder="1" applyAlignment="1" applyProtection="1">
      <alignment horizontal="center" vertical="center" wrapText="1"/>
    </xf>
    <xf numFmtId="0" fontId="50" fillId="6" borderId="26" xfId="17" applyFont="1" applyFill="1" applyBorder="1" applyAlignment="1" applyProtection="1">
      <alignment horizontal="center" vertical="top"/>
    </xf>
    <xf numFmtId="0" fontId="50" fillId="6" borderId="31" xfId="17" applyFont="1" applyFill="1" applyBorder="1" applyAlignment="1" applyProtection="1">
      <alignment horizontal="center" vertical="top"/>
    </xf>
    <xf numFmtId="0" fontId="4" fillId="0" borderId="16" xfId="17" applyFont="1" applyFill="1" applyBorder="1" applyAlignment="1" applyProtection="1">
      <alignment horizontal="center" vertical="center"/>
    </xf>
    <xf numFmtId="166" fontId="4" fillId="0" borderId="16" xfId="1" applyNumberFormat="1" applyFont="1" applyFill="1" applyBorder="1" applyAlignment="1" applyProtection="1">
      <alignment horizontal="center" vertical="center"/>
    </xf>
    <xf numFmtId="0" fontId="4" fillId="0" borderId="16" xfId="17" applyFont="1" applyFill="1" applyBorder="1" applyAlignment="1" applyProtection="1">
      <alignment horizontal="center" vertical="top"/>
    </xf>
    <xf numFmtId="166" fontId="4" fillId="0" borderId="16" xfId="1" applyNumberFormat="1" applyFont="1" applyFill="1" applyBorder="1" applyAlignment="1" applyProtection="1">
      <alignment horizontal="center" vertical="top"/>
    </xf>
    <xf numFmtId="166" fontId="4" fillId="0" borderId="16" xfId="1" applyNumberFormat="1" applyFont="1" applyFill="1" applyBorder="1" applyAlignment="1" applyProtection="1">
      <alignment horizontal="center"/>
    </xf>
    <xf numFmtId="0" fontId="4" fillId="0" borderId="0" xfId="17" applyFont="1" applyFill="1" applyBorder="1" applyAlignment="1" applyProtection="1">
      <alignment horizontal="center" vertical="center"/>
    </xf>
    <xf numFmtId="186" fontId="4" fillId="4" borderId="71" xfId="17" applyNumberFormat="1" applyFont="1" applyFill="1" applyBorder="1" applyAlignment="1" applyProtection="1">
      <alignment horizontal="center" vertical="center"/>
    </xf>
    <xf numFmtId="186" fontId="4" fillId="4" borderId="72" xfId="17" applyNumberFormat="1" applyFont="1" applyFill="1" applyBorder="1" applyAlignment="1" applyProtection="1">
      <alignment horizontal="center" vertical="center" wrapText="1"/>
    </xf>
    <xf numFmtId="186" fontId="4" fillId="4" borderId="73" xfId="17" applyNumberFormat="1" applyFont="1" applyFill="1" applyBorder="1" applyAlignment="1" applyProtection="1">
      <alignment horizontal="center" vertical="center" wrapText="1"/>
    </xf>
    <xf numFmtId="0" fontId="0" fillId="0" borderId="0" xfId="17" applyFont="1" applyFill="1" applyBorder="1" applyAlignment="1" applyProtection="1">
      <alignment horizontal="center" vertical="center"/>
    </xf>
    <xf numFmtId="0" fontId="50" fillId="6" borderId="24" xfId="17" applyFont="1" applyFill="1" applyBorder="1" applyAlignment="1" applyProtection="1">
      <alignment horizontal="left" vertical="center"/>
    </xf>
    <xf numFmtId="0" fontId="50" fillId="6" borderId="0" xfId="17" applyFont="1" applyFill="1" applyBorder="1" applyAlignment="1" applyProtection="1">
      <alignment horizontal="center" vertical="center"/>
    </xf>
    <xf numFmtId="0" fontId="50" fillId="6" borderId="32" xfId="17" applyFont="1" applyFill="1" applyBorder="1" applyAlignment="1" applyProtection="1">
      <alignment horizontal="center" vertical="center"/>
    </xf>
    <xf numFmtId="0" fontId="50" fillId="6" borderId="33" xfId="17" applyFont="1" applyFill="1" applyBorder="1" applyAlignment="1" applyProtection="1">
      <alignment horizontal="center" vertical="center"/>
    </xf>
    <xf numFmtId="10" fontId="50" fillId="6" borderId="34" xfId="17" applyNumberFormat="1" applyFont="1" applyFill="1" applyBorder="1" applyAlignment="1" applyProtection="1">
      <alignment horizontal="center" vertical="center"/>
    </xf>
    <xf numFmtId="0" fontId="50" fillId="6" borderId="24" xfId="17" applyFont="1" applyFill="1" applyBorder="1" applyAlignment="1" applyProtection="1">
      <alignment horizontal="center" vertical="center"/>
    </xf>
    <xf numFmtId="0" fontId="50" fillId="6" borderId="25" xfId="17" applyFont="1" applyFill="1" applyBorder="1" applyAlignment="1" applyProtection="1">
      <alignment horizontal="center" vertical="center"/>
    </xf>
    <xf numFmtId="0" fontId="0" fillId="0" borderId="0" xfId="17" applyFont="1" applyFill="1" applyAlignment="1" applyProtection="1">
      <alignment horizontal="center" vertical="center"/>
    </xf>
    <xf numFmtId="186" fontId="0" fillId="0" borderId="0" xfId="17" applyNumberFormat="1" applyFont="1" applyFill="1" applyAlignment="1" applyProtection="1">
      <alignment vertical="center"/>
    </xf>
    <xf numFmtId="0" fontId="80" fillId="6" borderId="17" xfId="17" applyFont="1" applyFill="1" applyBorder="1" applyAlignment="1" applyProtection="1">
      <alignment horizontal="left"/>
    </xf>
    <xf numFmtId="0" fontId="12" fillId="6" borderId="18" xfId="17" applyFont="1" applyFill="1" applyBorder="1" applyProtection="1"/>
    <xf numFmtId="0" fontId="12" fillId="6" borderId="21" xfId="17" applyFont="1" applyFill="1" applyBorder="1" applyProtection="1"/>
    <xf numFmtId="0" fontId="12" fillId="6" borderId="22" xfId="17" applyFont="1" applyFill="1" applyBorder="1" applyProtection="1"/>
    <xf numFmtId="0" fontId="12" fillId="6" borderId="23" xfId="17" applyFont="1" applyFill="1" applyBorder="1" applyAlignment="1" applyProtection="1">
      <alignment horizontal="center" vertical="center"/>
    </xf>
    <xf numFmtId="0" fontId="12" fillId="6" borderId="23" xfId="17" applyFont="1" applyFill="1" applyBorder="1" applyProtection="1"/>
    <xf numFmtId="0" fontId="12" fillId="6" borderId="17" xfId="17" applyFont="1" applyFill="1" applyBorder="1" applyProtection="1"/>
    <xf numFmtId="0" fontId="12" fillId="6" borderId="1" xfId="17" applyFont="1" applyFill="1" applyBorder="1" applyProtection="1"/>
    <xf numFmtId="0" fontId="0" fillId="0" borderId="0" xfId="17" applyFont="1" applyFill="1" applyAlignment="1" applyProtection="1">
      <alignment horizontal="right"/>
    </xf>
    <xf numFmtId="0" fontId="0" fillId="0" borderId="0" xfId="1" applyNumberFormat="1" applyFont="1" applyFill="1" applyBorder="1" applyAlignment="1" applyProtection="1">
      <alignment horizontal="center"/>
    </xf>
    <xf numFmtId="0" fontId="52" fillId="6" borderId="47" xfId="25" applyFont="1" applyFill="1" applyBorder="1" applyAlignment="1" applyProtection="1">
      <alignment horizontal="center" vertical="center"/>
    </xf>
    <xf numFmtId="0" fontId="50" fillId="6" borderId="47" xfId="17" applyFont="1" applyFill="1" applyBorder="1" applyAlignment="1" applyProtection="1">
      <alignment horizontal="center" vertical="center"/>
    </xf>
    <xf numFmtId="0" fontId="12" fillId="6" borderId="46" xfId="17" applyFont="1" applyFill="1" applyBorder="1" applyAlignment="1" applyProtection="1">
      <alignment horizontal="right" vertical="center" indent="1"/>
    </xf>
    <xf numFmtId="0" fontId="12" fillId="6" borderId="51" xfId="17" applyFont="1" applyFill="1" applyBorder="1" applyAlignment="1" applyProtection="1">
      <alignment horizontal="right" vertical="center"/>
    </xf>
    <xf numFmtId="164" fontId="0" fillId="0" borderId="0" xfId="17" applyNumberFormat="1" applyFont="1" applyFill="1" applyBorder="1" applyProtection="1"/>
    <xf numFmtId="10" fontId="4" fillId="0" borderId="0" xfId="3" applyNumberFormat="1" applyFont="1" applyFill="1" applyBorder="1" applyAlignment="1" applyProtection="1">
      <alignment horizontal="right"/>
    </xf>
    <xf numFmtId="0" fontId="53" fillId="0" borderId="0" xfId="7" applyNumberFormat="1" applyFont="1" applyFill="1" applyBorder="1" applyAlignment="1" applyProtection="1">
      <alignment horizontal="center"/>
    </xf>
    <xf numFmtId="10" fontId="4" fillId="0" borderId="0" xfId="3" applyNumberFormat="1" applyFont="1" applyFill="1" applyBorder="1" applyAlignment="1" applyProtection="1">
      <alignment horizontal="center"/>
    </xf>
    <xf numFmtId="186" fontId="4" fillId="0" borderId="0" xfId="17" applyNumberFormat="1" applyFont="1" applyFill="1" applyProtection="1"/>
    <xf numFmtId="186" fontId="4" fillId="0" borderId="0" xfId="17" applyNumberFormat="1" applyFont="1" applyFill="1" applyAlignment="1" applyProtection="1"/>
    <xf numFmtId="164" fontId="0" fillId="0" borderId="0" xfId="17" applyNumberFormat="1" applyFont="1" applyFill="1" applyProtection="1"/>
    <xf numFmtId="0" fontId="52" fillId="6" borderId="0" xfId="25" applyFont="1" applyFill="1" applyBorder="1" applyAlignment="1" applyProtection="1">
      <alignment horizontal="center" vertical="center"/>
    </xf>
    <xf numFmtId="0" fontId="12" fillId="6" borderId="24" xfId="17" applyFont="1" applyFill="1" applyBorder="1" applyAlignment="1" applyProtection="1">
      <alignment horizontal="right" vertical="center" indent="1"/>
    </xf>
    <xf numFmtId="0" fontId="12" fillId="6" borderId="25" xfId="17" applyFont="1" applyFill="1" applyBorder="1" applyAlignment="1" applyProtection="1">
      <alignment horizontal="right" vertical="center"/>
    </xf>
    <xf numFmtId="0" fontId="81" fillId="6" borderId="46" xfId="17" applyFont="1" applyFill="1" applyBorder="1" applyAlignment="1" applyProtection="1">
      <alignment horizontal="left" vertical="center" indent="1"/>
    </xf>
    <xf numFmtId="170" fontId="0" fillId="0" borderId="0" xfId="17" applyNumberFormat="1" applyFont="1" applyFill="1" applyProtection="1"/>
    <xf numFmtId="0" fontId="81" fillId="6" borderId="24" xfId="17" applyFont="1" applyFill="1" applyBorder="1" applyAlignment="1" applyProtection="1">
      <alignment horizontal="left" vertical="center" indent="1"/>
    </xf>
    <xf numFmtId="0" fontId="81" fillId="7" borderId="46" xfId="17" applyFont="1" applyFill="1" applyBorder="1" applyAlignment="1" applyProtection="1">
      <alignment horizontal="left" vertical="center" indent="1"/>
    </xf>
    <xf numFmtId="0" fontId="12" fillId="7" borderId="47" xfId="17" applyFont="1" applyFill="1" applyBorder="1" applyAlignment="1" applyProtection="1">
      <alignment horizontal="center" vertical="center"/>
    </xf>
    <xf numFmtId="0" fontId="50" fillId="7" borderId="52" xfId="17" applyFont="1" applyFill="1" applyBorder="1" applyAlignment="1" applyProtection="1">
      <alignment horizontal="center" vertical="center"/>
    </xf>
    <xf numFmtId="0" fontId="12" fillId="7" borderId="51" xfId="17" applyFont="1" applyFill="1" applyBorder="1" applyAlignment="1" applyProtection="1">
      <alignment horizontal="right" vertical="center" indent="1"/>
    </xf>
    <xf numFmtId="0" fontId="68" fillId="7" borderId="52" xfId="17" applyFont="1" applyFill="1" applyBorder="1" applyAlignment="1" applyProtection="1">
      <alignment horizontal="right" vertical="center" indent="1"/>
    </xf>
    <xf numFmtId="164" fontId="0" fillId="7" borderId="0" xfId="17" applyNumberFormat="1" applyFont="1" applyFill="1" applyProtection="1"/>
    <xf numFmtId="166" fontId="0" fillId="7" borderId="0" xfId="1" applyNumberFormat="1" applyFont="1" applyFill="1" applyBorder="1" applyAlignment="1" applyProtection="1"/>
    <xf numFmtId="10" fontId="4" fillId="7" borderId="0" xfId="3" applyNumberFormat="1" applyFont="1" applyFill="1" applyBorder="1" applyAlignment="1" applyProtection="1">
      <alignment horizontal="right"/>
    </xf>
    <xf numFmtId="173" fontId="0" fillId="7" borderId="0" xfId="1" applyNumberFormat="1" applyFont="1" applyFill="1" applyBorder="1" applyAlignment="1" applyProtection="1"/>
    <xf numFmtId="0" fontId="0" fillId="7" borderId="0" xfId="1" applyNumberFormat="1" applyFont="1" applyFill="1" applyBorder="1" applyAlignment="1" applyProtection="1">
      <alignment horizontal="center"/>
    </xf>
    <xf numFmtId="10" fontId="0" fillId="7" borderId="0" xfId="3" applyNumberFormat="1" applyFont="1" applyFill="1" applyBorder="1" applyAlignment="1" applyProtection="1">
      <alignment horizontal="center"/>
    </xf>
    <xf numFmtId="186" fontId="4" fillId="7" borderId="0" xfId="17" applyNumberFormat="1" applyFont="1" applyFill="1" applyProtection="1"/>
    <xf numFmtId="186" fontId="4" fillId="7" borderId="0" xfId="17" applyNumberFormat="1" applyFont="1" applyFill="1" applyAlignment="1" applyProtection="1"/>
    <xf numFmtId="186" fontId="0" fillId="7" borderId="0" xfId="17" applyNumberFormat="1" applyFont="1" applyFill="1" applyBorder="1" applyProtection="1"/>
    <xf numFmtId="0" fontId="0" fillId="7" borderId="0" xfId="17" applyFont="1" applyFill="1" applyProtection="1"/>
    <xf numFmtId="0" fontId="12" fillId="7" borderId="52" xfId="17" applyFont="1" applyFill="1" applyBorder="1" applyAlignment="1" applyProtection="1">
      <alignment horizontal="right" vertical="center"/>
    </xf>
    <xf numFmtId="0" fontId="81" fillId="7" borderId="24" xfId="17" applyFont="1" applyFill="1" applyBorder="1" applyAlignment="1" applyProtection="1">
      <alignment horizontal="left" vertical="center" indent="1"/>
    </xf>
    <xf numFmtId="0" fontId="12" fillId="7" borderId="0" xfId="17" applyFont="1" applyFill="1" applyBorder="1" applyAlignment="1" applyProtection="1">
      <alignment horizontal="center" vertical="center"/>
    </xf>
    <xf numFmtId="0" fontId="50" fillId="7" borderId="36" xfId="17" applyFont="1" applyFill="1" applyBorder="1" applyAlignment="1" applyProtection="1">
      <alignment horizontal="center" vertical="center"/>
    </xf>
    <xf numFmtId="0" fontId="12" fillId="7" borderId="25" xfId="17" applyFont="1" applyFill="1" applyBorder="1" applyAlignment="1" applyProtection="1">
      <alignment horizontal="right" vertical="center" indent="1"/>
    </xf>
    <xf numFmtId="0" fontId="12" fillId="7" borderId="36" xfId="17" applyFont="1" applyFill="1" applyBorder="1" applyAlignment="1" applyProtection="1">
      <alignment horizontal="right" vertical="center"/>
    </xf>
    <xf numFmtId="0" fontId="81" fillId="6" borderId="74" xfId="17" applyFont="1" applyFill="1" applyBorder="1" applyAlignment="1" applyProtection="1">
      <alignment horizontal="left" vertical="center" indent="1"/>
    </xf>
    <xf numFmtId="0" fontId="50" fillId="6" borderId="75" xfId="17" applyFont="1" applyFill="1" applyBorder="1" applyAlignment="1" applyProtection="1">
      <alignment horizontal="center" vertical="center"/>
    </xf>
    <xf numFmtId="165" fontId="12" fillId="6" borderId="76" xfId="2" applyNumberFormat="1" applyFont="1" applyFill="1" applyBorder="1" applyAlignment="1" applyProtection="1">
      <alignment vertical="center"/>
    </xf>
    <xf numFmtId="165" fontId="12" fillId="6" borderId="77" xfId="2" applyNumberFormat="1" applyFont="1" applyFill="1" applyBorder="1" applyAlignment="1" applyProtection="1">
      <alignment vertical="center"/>
    </xf>
    <xf numFmtId="10" fontId="12" fillId="6" borderId="78" xfId="3" applyNumberFormat="1" applyFont="1" applyFill="1" applyBorder="1" applyAlignment="1" applyProtection="1">
      <alignment horizontal="center" vertical="center"/>
    </xf>
    <xf numFmtId="0" fontId="12" fillId="6" borderId="74" xfId="17" applyFont="1" applyFill="1" applyBorder="1" applyAlignment="1" applyProtection="1">
      <alignment horizontal="right" vertical="center" indent="1"/>
    </xf>
    <xf numFmtId="0" fontId="68" fillId="6" borderId="79" xfId="17" applyFont="1" applyFill="1" applyBorder="1" applyAlignment="1" applyProtection="1">
      <alignment horizontal="right" vertical="center" indent="1"/>
    </xf>
    <xf numFmtId="165" fontId="0" fillId="0" borderId="0" xfId="17" applyNumberFormat="1" applyFont="1" applyFill="1" applyBorder="1" applyProtection="1"/>
    <xf numFmtId="0" fontId="80" fillId="6" borderId="17" xfId="17" applyFont="1" applyFill="1" applyBorder="1" applyAlignment="1" applyProtection="1">
      <alignment horizontal="left" vertical="center"/>
    </xf>
    <xf numFmtId="0" fontId="50" fillId="6" borderId="18" xfId="17" applyFont="1" applyFill="1" applyBorder="1" applyAlignment="1" applyProtection="1">
      <alignment vertical="center"/>
    </xf>
    <xf numFmtId="0" fontId="12" fillId="6" borderId="19" xfId="17" applyFont="1" applyFill="1" applyBorder="1" applyAlignment="1" applyProtection="1">
      <alignment horizontal="center" vertical="center"/>
    </xf>
    <xf numFmtId="0" fontId="12" fillId="6" borderId="1" xfId="17" applyFont="1" applyFill="1" applyBorder="1" applyAlignment="1" applyProtection="1">
      <alignment horizontal="right" vertical="center" indent="1"/>
    </xf>
    <xf numFmtId="0" fontId="12" fillId="6" borderId="19" xfId="17" applyFont="1" applyFill="1" applyBorder="1" applyAlignment="1" applyProtection="1">
      <alignment horizontal="right" vertical="center"/>
    </xf>
    <xf numFmtId="0" fontId="4" fillId="0" borderId="0" xfId="17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center"/>
    </xf>
    <xf numFmtId="165" fontId="52" fillId="7" borderId="48" xfId="17" applyNumberFormat="1" applyFont="1" applyFill="1" applyBorder="1" applyAlignment="1" applyProtection="1">
      <alignment vertical="center"/>
    </xf>
    <xf numFmtId="186" fontId="0" fillId="7" borderId="0" xfId="17" applyNumberFormat="1" applyFont="1" applyFill="1" applyProtection="1"/>
    <xf numFmtId="164" fontId="0" fillId="7" borderId="0" xfId="17" applyNumberFormat="1" applyFont="1" applyFill="1" applyBorder="1" applyProtection="1"/>
    <xf numFmtId="0" fontId="0" fillId="7" borderId="0" xfId="17" applyFont="1" applyFill="1" applyBorder="1" applyProtection="1"/>
    <xf numFmtId="170" fontId="0" fillId="0" borderId="0" xfId="17" applyNumberFormat="1" applyFont="1" applyFill="1" applyBorder="1" applyProtection="1"/>
    <xf numFmtId="0" fontId="12" fillId="6" borderId="47" xfId="17" applyFont="1" applyFill="1" applyBorder="1" applyAlignment="1" applyProtection="1">
      <alignment horizontal="center" vertical="center"/>
    </xf>
    <xf numFmtId="0" fontId="50" fillId="6" borderId="52" xfId="17" applyFont="1" applyFill="1" applyBorder="1" applyAlignment="1" applyProtection="1">
      <alignment horizontal="center" vertical="center"/>
    </xf>
    <xf numFmtId="0" fontId="12" fillId="6" borderId="51" xfId="17" applyFont="1" applyFill="1" applyBorder="1" applyAlignment="1" applyProtection="1">
      <alignment horizontal="right" vertical="center" indent="1"/>
    </xf>
    <xf numFmtId="0" fontId="12" fillId="6" borderId="52" xfId="17" applyFont="1" applyFill="1" applyBorder="1" applyAlignment="1" applyProtection="1">
      <alignment horizontal="right" vertical="center"/>
    </xf>
    <xf numFmtId="170" fontId="0" fillId="0" borderId="0" xfId="2" applyNumberFormat="1" applyFont="1" applyFill="1" applyBorder="1" applyAlignment="1" applyProtection="1"/>
    <xf numFmtId="0" fontId="81" fillId="6" borderId="53" xfId="17" applyFont="1" applyFill="1" applyBorder="1" applyAlignment="1" applyProtection="1">
      <alignment horizontal="left" vertical="center" indent="1"/>
    </xf>
    <xf numFmtId="0" fontId="12" fillId="6" borderId="54" xfId="17" applyFont="1" applyFill="1" applyBorder="1" applyAlignment="1" applyProtection="1">
      <alignment horizontal="center" vertical="center"/>
    </xf>
    <xf numFmtId="0" fontId="12" fillId="6" borderId="58" xfId="17" applyFont="1" applyFill="1" applyBorder="1" applyAlignment="1" applyProtection="1">
      <alignment horizontal="right" vertical="center" indent="1"/>
    </xf>
    <xf numFmtId="0" fontId="12" fillId="6" borderId="66" xfId="17" applyFont="1" applyFill="1" applyBorder="1" applyAlignment="1" applyProtection="1">
      <alignment horizontal="right" vertical="center"/>
    </xf>
    <xf numFmtId="0" fontId="0" fillId="6" borderId="0" xfId="17" applyFont="1" applyFill="1" applyBorder="1" applyAlignment="1" applyProtection="1">
      <alignment horizontal="center"/>
    </xf>
    <xf numFmtId="165" fontId="0" fillId="6" borderId="0" xfId="17" applyNumberFormat="1" applyFont="1" applyFill="1" applyBorder="1" applyProtection="1"/>
    <xf numFmtId="0" fontId="0" fillId="6" borderId="25" xfId="17" applyFont="1" applyFill="1" applyBorder="1" applyAlignment="1" applyProtection="1">
      <alignment horizontal="right" indent="1"/>
    </xf>
    <xf numFmtId="0" fontId="0" fillId="6" borderId="36" xfId="17" applyFont="1" applyFill="1" applyBorder="1" applyAlignment="1" applyProtection="1">
      <alignment horizontal="right"/>
    </xf>
    <xf numFmtId="0" fontId="0" fillId="6" borderId="0" xfId="17" applyFont="1" applyFill="1" applyBorder="1" applyAlignment="1" applyProtection="1">
      <alignment horizontal="left"/>
    </xf>
    <xf numFmtId="0" fontId="15" fillId="6" borderId="0" xfId="17" applyFont="1" applyFill="1" applyBorder="1" applyAlignment="1" applyProtection="1">
      <alignment horizontal="left"/>
    </xf>
    <xf numFmtId="0" fontId="0" fillId="6" borderId="0" xfId="17" applyFont="1" applyFill="1" applyBorder="1" applyProtection="1"/>
    <xf numFmtId="170" fontId="0" fillId="6" borderId="0" xfId="17" applyNumberFormat="1" applyFont="1" applyFill="1" applyProtection="1"/>
    <xf numFmtId="165" fontId="12" fillId="6" borderId="0" xfId="17" applyNumberFormat="1" applyFont="1" applyFill="1" applyBorder="1" applyAlignment="1" applyProtection="1">
      <alignment horizontal="center" vertical="center"/>
    </xf>
    <xf numFmtId="0" fontId="12" fillId="6" borderId="37" xfId="1" applyNumberFormat="1" applyFont="1" applyFill="1" applyBorder="1" applyAlignment="1" applyProtection="1">
      <alignment horizontal="right" vertical="center"/>
    </xf>
    <xf numFmtId="164" fontId="0" fillId="0" borderId="35" xfId="1" applyNumberFormat="1" applyFont="1" applyFill="1" applyBorder="1" applyAlignment="1" applyProtection="1">
      <alignment horizontal="center"/>
    </xf>
    <xf numFmtId="10" fontId="0" fillId="0" borderId="35" xfId="17" applyNumberFormat="1" applyFont="1" applyFill="1" applyBorder="1" applyAlignment="1" applyProtection="1">
      <alignment horizontal="right"/>
    </xf>
    <xf numFmtId="0" fontId="4" fillId="0" borderId="35" xfId="1" applyNumberFormat="1" applyFont="1" applyFill="1" applyBorder="1" applyAlignment="1" applyProtection="1">
      <alignment horizontal="center"/>
    </xf>
    <xf numFmtId="10" fontId="0" fillId="0" borderId="0" xfId="17" applyNumberFormat="1" applyFont="1" applyFill="1" applyBorder="1" applyProtection="1"/>
    <xf numFmtId="186" fontId="4" fillId="0" borderId="35" xfId="17" applyNumberFormat="1" applyFont="1" applyFill="1" applyBorder="1" applyProtection="1"/>
    <xf numFmtId="0" fontId="0" fillId="6" borderId="0" xfId="17" applyFont="1" applyFill="1" applyProtection="1"/>
    <xf numFmtId="0" fontId="0" fillId="6" borderId="0" xfId="17" applyFont="1" applyFill="1" applyAlignment="1" applyProtection="1">
      <alignment horizontal="center"/>
    </xf>
    <xf numFmtId="165" fontId="0" fillId="6" borderId="0" xfId="17" applyNumberFormat="1" applyFont="1" applyFill="1" applyProtection="1"/>
    <xf numFmtId="0" fontId="0" fillId="6" borderId="0" xfId="17" applyFont="1" applyFill="1" applyAlignment="1" applyProtection="1">
      <alignment horizontal="center" vertical="center"/>
    </xf>
    <xf numFmtId="0" fontId="0" fillId="0" borderId="0" xfId="0" applyFill="1"/>
    <xf numFmtId="0" fontId="0" fillId="0" borderId="0" xfId="17" applyFont="1" applyFill="1" applyBorder="1" applyAlignment="1" applyProtection="1">
      <alignment horizontal="left"/>
    </xf>
    <xf numFmtId="165" fontId="0" fillId="0" borderId="0" xfId="17" applyNumberFormat="1" applyFont="1" applyFill="1" applyProtection="1"/>
    <xf numFmtId="173" fontId="19" fillId="0" borderId="0" xfId="1" applyNumberFormat="1" applyFont="1" applyFill="1" applyBorder="1" applyAlignment="1" applyProtection="1"/>
    <xf numFmtId="186" fontId="4" fillId="4" borderId="81" xfId="17" applyNumberFormat="1" applyFont="1" applyFill="1" applyBorder="1" applyAlignment="1" applyProtection="1">
      <alignment horizontal="center" vertical="center"/>
    </xf>
    <xf numFmtId="186" fontId="4" fillId="4" borderId="20" xfId="17" applyNumberFormat="1" applyFont="1" applyFill="1" applyBorder="1" applyAlignment="1" applyProtection="1">
      <alignment horizontal="center" vertical="center" wrapText="1"/>
    </xf>
    <xf numFmtId="0" fontId="83" fillId="5" borderId="17" xfId="17" applyFont="1" applyFill="1" applyBorder="1" applyAlignment="1" applyProtection="1">
      <alignment horizontal="left" vertical="center" indent="1"/>
    </xf>
    <xf numFmtId="165" fontId="82" fillId="5" borderId="18" xfId="11" applyFont="1" applyFill="1" applyBorder="1" applyAlignment="1" applyProtection="1">
      <alignment horizontal="center" vertical="center"/>
    </xf>
    <xf numFmtId="0" fontId="84" fillId="5" borderId="19" xfId="17" applyFont="1" applyFill="1" applyBorder="1" applyAlignment="1" applyProtection="1">
      <alignment horizontal="center" vertical="center"/>
    </xf>
    <xf numFmtId="165" fontId="82" fillId="5" borderId="18" xfId="2" applyNumberFormat="1" applyFont="1" applyFill="1" applyBorder="1" applyAlignment="1" applyProtection="1">
      <alignment vertical="center"/>
    </xf>
    <xf numFmtId="165" fontId="82" fillId="5" borderId="22" xfId="2" applyNumberFormat="1" applyFont="1" applyFill="1" applyBorder="1" applyAlignment="1" applyProtection="1">
      <alignment horizontal="right" vertical="center"/>
    </xf>
    <xf numFmtId="10" fontId="82" fillId="5" borderId="23" xfId="3" applyNumberFormat="1" applyFont="1" applyFill="1" applyBorder="1" applyAlignment="1" applyProtection="1">
      <alignment horizontal="center" vertical="center"/>
    </xf>
    <xf numFmtId="165" fontId="82" fillId="5" borderId="21" xfId="2" applyNumberFormat="1" applyFont="1" applyFill="1" applyBorder="1" applyAlignment="1" applyProtection="1">
      <alignment vertical="center"/>
    </xf>
    <xf numFmtId="165" fontId="82" fillId="5" borderId="22" xfId="2" applyNumberFormat="1" applyFont="1" applyFill="1" applyBorder="1" applyAlignment="1" applyProtection="1">
      <alignment vertical="center"/>
    </xf>
    <xf numFmtId="0" fontId="82" fillId="5" borderId="1" xfId="17" applyFont="1" applyFill="1" applyBorder="1" applyAlignment="1" applyProtection="1">
      <alignment horizontal="right" vertical="center" indent="1"/>
    </xf>
    <xf numFmtId="0" fontId="68" fillId="5" borderId="19" xfId="17" applyFont="1" applyFill="1" applyBorder="1" applyAlignment="1" applyProtection="1">
      <alignment horizontal="right" vertical="center"/>
    </xf>
    <xf numFmtId="0" fontId="19" fillId="5" borderId="0" xfId="17" applyFont="1" applyFill="1" applyBorder="1" applyProtection="1"/>
    <xf numFmtId="166" fontId="19" fillId="5" borderId="0" xfId="1" applyNumberFormat="1" applyFont="1" applyFill="1" applyBorder="1" applyAlignment="1" applyProtection="1"/>
    <xf numFmtId="10" fontId="28" fillId="5" borderId="0" xfId="3" applyNumberFormat="1" applyFont="1" applyFill="1" applyBorder="1" applyAlignment="1" applyProtection="1">
      <alignment horizontal="right"/>
    </xf>
    <xf numFmtId="173" fontId="19" fillId="5" borderId="0" xfId="1" applyNumberFormat="1" applyFont="1" applyFill="1" applyBorder="1" applyAlignment="1" applyProtection="1"/>
    <xf numFmtId="166" fontId="0" fillId="0" borderId="5" xfId="1" applyNumberFormat="1" applyFont="1" applyFill="1" applyBorder="1" applyAlignment="1" applyProtection="1">
      <alignment horizontal="center"/>
    </xf>
    <xf numFmtId="0" fontId="55" fillId="0" borderId="0" xfId="17" applyFont="1" applyFill="1" applyBorder="1" applyAlignment="1" applyProtection="1">
      <alignment horizontal="right"/>
    </xf>
    <xf numFmtId="186" fontId="0" fillId="0" borderId="7" xfId="17" applyNumberFormat="1" applyFont="1" applyFill="1" applyBorder="1" applyProtection="1"/>
    <xf numFmtId="0" fontId="83" fillId="5" borderId="24" xfId="17" applyFont="1" applyFill="1" applyBorder="1" applyAlignment="1" applyProtection="1">
      <alignment horizontal="left" vertical="center" indent="1"/>
    </xf>
    <xf numFmtId="165" fontId="82" fillId="5" borderId="0" xfId="11" applyFont="1" applyFill="1" applyBorder="1" applyAlignment="1" applyProtection="1">
      <alignment horizontal="center" vertical="center"/>
    </xf>
    <xf numFmtId="0" fontId="84" fillId="5" borderId="36" xfId="17" applyFont="1" applyFill="1" applyBorder="1" applyAlignment="1" applyProtection="1">
      <alignment horizontal="center" vertical="center"/>
    </xf>
    <xf numFmtId="0" fontId="82" fillId="5" borderId="25" xfId="17" applyFont="1" applyFill="1" applyBorder="1" applyAlignment="1" applyProtection="1">
      <alignment horizontal="right" vertical="center" indent="1"/>
    </xf>
    <xf numFmtId="0" fontId="68" fillId="5" borderId="36" xfId="17" applyFont="1" applyFill="1" applyBorder="1" applyAlignment="1" applyProtection="1">
      <alignment horizontal="right" vertical="center"/>
    </xf>
    <xf numFmtId="0" fontId="83" fillId="5" borderId="26" xfId="17" applyFont="1" applyFill="1" applyBorder="1" applyAlignment="1" applyProtection="1">
      <alignment horizontal="left" vertical="center" indent="1"/>
    </xf>
    <xf numFmtId="165" fontId="82" fillId="5" borderId="27" xfId="11" applyFont="1" applyFill="1" applyBorder="1" applyAlignment="1" applyProtection="1">
      <alignment horizontal="center" vertical="center"/>
    </xf>
    <xf numFmtId="0" fontId="84" fillId="5" borderId="37" xfId="17" applyFont="1" applyFill="1" applyBorder="1" applyAlignment="1" applyProtection="1">
      <alignment horizontal="center" vertical="center"/>
    </xf>
    <xf numFmtId="165" fontId="82" fillId="5" borderId="27" xfId="2" applyNumberFormat="1" applyFont="1" applyFill="1" applyBorder="1" applyAlignment="1" applyProtection="1">
      <alignment vertical="center"/>
    </xf>
    <xf numFmtId="165" fontId="82" fillId="5" borderId="29" xfId="2" applyNumberFormat="1" applyFont="1" applyFill="1" applyBorder="1" applyAlignment="1" applyProtection="1">
      <alignment horizontal="right" vertical="center"/>
    </xf>
    <xf numFmtId="10" fontId="82" fillId="5" borderId="30" xfId="3" applyNumberFormat="1" applyFont="1" applyFill="1" applyBorder="1" applyAlignment="1" applyProtection="1">
      <alignment horizontal="center" vertical="center"/>
    </xf>
    <xf numFmtId="165" fontId="82" fillId="5" borderId="28" xfId="2" applyNumberFormat="1" applyFont="1" applyFill="1" applyBorder="1" applyAlignment="1" applyProtection="1">
      <alignment vertical="center"/>
    </xf>
    <xf numFmtId="165" fontId="82" fillId="5" borderId="29" xfId="2" applyNumberFormat="1" applyFont="1" applyFill="1" applyBorder="1" applyAlignment="1" applyProtection="1">
      <alignment vertical="center"/>
    </xf>
    <xf numFmtId="0" fontId="82" fillId="5" borderId="31" xfId="17" applyFont="1" applyFill="1" applyBorder="1" applyAlignment="1" applyProtection="1">
      <alignment horizontal="right" vertical="center" indent="1"/>
    </xf>
    <xf numFmtId="0" fontId="68" fillId="5" borderId="37" xfId="17" applyFont="1" applyFill="1" applyBorder="1" applyAlignment="1" applyProtection="1">
      <alignment horizontal="right" vertical="center"/>
    </xf>
    <xf numFmtId="186" fontId="4" fillId="0" borderId="38" xfId="17" applyNumberFormat="1" applyFont="1" applyFill="1" applyBorder="1" applyProtection="1"/>
    <xf numFmtId="186" fontId="4" fillId="0" borderId="68" xfId="17" applyNumberFormat="1" applyFont="1" applyFill="1" applyBorder="1" applyProtection="1"/>
    <xf numFmtId="0" fontId="96" fillId="0" borderId="0" xfId="17" applyFont="1" applyFill="1" applyAlignment="1" applyProtection="1"/>
    <xf numFmtId="0" fontId="0" fillId="0" borderId="0" xfId="17" applyFont="1" applyFill="1" applyAlignment="1" applyProtection="1"/>
    <xf numFmtId="10" fontId="0" fillId="0" borderId="0" xfId="17" applyNumberFormat="1" applyFont="1" applyFill="1" applyAlignment="1" applyProtection="1"/>
    <xf numFmtId="174" fontId="0" fillId="0" borderId="0" xfId="17" applyNumberFormat="1" applyFont="1" applyFill="1" applyAlignment="1" applyProtection="1"/>
    <xf numFmtId="0" fontId="96" fillId="0" borderId="0" xfId="17" applyFont="1" applyFill="1" applyProtection="1"/>
    <xf numFmtId="186" fontId="0" fillId="0" borderId="7" xfId="17" applyNumberFormat="1" applyFont="1" applyBorder="1" applyProtection="1"/>
    <xf numFmtId="170" fontId="4" fillId="0" borderId="0" xfId="17" applyNumberFormat="1" applyFont="1" applyFill="1" applyProtection="1"/>
    <xf numFmtId="0" fontId="28" fillId="0" borderId="0" xfId="17" applyFont="1" applyFill="1" applyAlignment="1" applyProtection="1">
      <alignment horizontal="center"/>
    </xf>
    <xf numFmtId="165" fontId="0" fillId="0" borderId="0" xfId="11" applyFont="1" applyFill="1" applyBorder="1" applyAlignment="1" applyProtection="1">
      <alignment horizontal="left" indent="2"/>
    </xf>
    <xf numFmtId="186" fontId="0" fillId="0" borderId="16" xfId="17" applyNumberFormat="1" applyFont="1" applyFill="1" applyBorder="1" applyProtection="1"/>
    <xf numFmtId="0" fontId="4" fillId="0" borderId="0" xfId="17" applyFont="1" applyFill="1" applyProtection="1"/>
    <xf numFmtId="0" fontId="96" fillId="0" borderId="16" xfId="17" applyFont="1" applyFill="1" applyBorder="1" applyAlignment="1" applyProtection="1">
      <alignment horizontal="center"/>
    </xf>
    <xf numFmtId="0" fontId="97" fillId="0" borderId="16" xfId="17" applyFont="1" applyFill="1" applyBorder="1" applyAlignment="1" applyProtection="1">
      <alignment horizontal="center"/>
    </xf>
    <xf numFmtId="0" fontId="97" fillId="0" borderId="16" xfId="17" applyFont="1" applyBorder="1" applyAlignment="1" applyProtection="1">
      <alignment horizontal="center"/>
    </xf>
    <xf numFmtId="0" fontId="97" fillId="0" borderId="16" xfId="17" applyFont="1" applyFill="1" applyBorder="1" applyAlignment="1" applyProtection="1">
      <alignment horizontal="center" vertical="center"/>
    </xf>
    <xf numFmtId="0" fontId="96" fillId="0" borderId="16" xfId="17" applyFont="1" applyBorder="1" applyAlignment="1" applyProtection="1">
      <alignment horizontal="center"/>
    </xf>
    <xf numFmtId="165" fontId="0" fillId="0" borderId="0" xfId="11" applyFont="1" applyFill="1" applyBorder="1" applyAlignment="1" applyProtection="1">
      <alignment horizontal="left" indent="4"/>
    </xf>
    <xf numFmtId="0" fontId="0" fillId="0" borderId="0" xfId="17" applyFont="1" applyAlignment="1" applyProtection="1">
      <alignment horizontal="center" vertical="center"/>
    </xf>
    <xf numFmtId="0" fontId="0" fillId="0" borderId="0" xfId="17" applyFont="1" applyProtection="1"/>
    <xf numFmtId="0" fontId="19" fillId="0" borderId="0" xfId="17" applyFont="1" applyFill="1" applyAlignment="1" applyProtection="1">
      <alignment horizontal="center"/>
    </xf>
    <xf numFmtId="0" fontId="0" fillId="0" borderId="0" xfId="17" applyFont="1" applyAlignment="1" applyProtection="1">
      <alignment horizontal="center"/>
    </xf>
    <xf numFmtId="0" fontId="0" fillId="0" borderId="0" xfId="17" applyFont="1" applyFill="1" applyAlignment="1" applyProtection="1">
      <alignment horizontal="right" indent="1"/>
    </xf>
    <xf numFmtId="186" fontId="0" fillId="0" borderId="9" xfId="17" applyNumberFormat="1" applyFont="1" applyFill="1" applyBorder="1" applyProtection="1"/>
    <xf numFmtId="0" fontId="0" fillId="0" borderId="16" xfId="17" applyFont="1" applyFill="1" applyBorder="1" applyAlignment="1" applyProtection="1">
      <alignment horizontal="right" indent="1"/>
    </xf>
    <xf numFmtId="194" fontId="0" fillId="0" borderId="0" xfId="23" applyNumberFormat="1" applyFont="1" applyAlignment="1" applyProtection="1">
      <alignment horizontal="right" indent="1"/>
    </xf>
    <xf numFmtId="166" fontId="0" fillId="0" borderId="8" xfId="1" applyNumberFormat="1" applyFont="1" applyFill="1" applyBorder="1" applyAlignment="1" applyProtection="1">
      <alignment horizontal="center"/>
    </xf>
    <xf numFmtId="0" fontId="4" fillId="0" borderId="16" xfId="17" applyFont="1" applyFill="1" applyBorder="1" applyAlignment="1" applyProtection="1">
      <alignment horizontal="right"/>
    </xf>
    <xf numFmtId="0" fontId="4" fillId="0" borderId="0" xfId="17" applyFont="1" applyBorder="1" applyAlignment="1">
      <alignment horizontal="center"/>
    </xf>
    <xf numFmtId="0" fontId="6" fillId="0" borderId="0" xfId="27" applyNumberFormat="1" applyFont="1" applyBorder="1" applyAlignment="1">
      <alignment horizontal="center"/>
    </xf>
    <xf numFmtId="0" fontId="9" fillId="0" borderId="0" xfId="27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4" fillId="0" borderId="0" xfId="27" applyFont="1" applyFill="1" applyBorder="1" applyAlignment="1">
      <alignment horizontal="center"/>
    </xf>
    <xf numFmtId="0" fontId="17" fillId="0" borderId="0" xfId="27" applyNumberFormat="1" applyFont="1" applyFill="1" applyBorder="1" applyAlignment="1">
      <alignment horizontal="center"/>
    </xf>
    <xf numFmtId="0" fontId="18" fillId="0" borderId="0" xfId="27" applyFont="1" applyFill="1" applyBorder="1" applyAlignment="1">
      <alignment horizontal="center"/>
    </xf>
    <xf numFmtId="0" fontId="19" fillId="0" borderId="0" xfId="27" applyFont="1" applyFill="1" applyBorder="1" applyAlignment="1">
      <alignment horizontal="center"/>
    </xf>
    <xf numFmtId="0" fontId="20" fillId="0" borderId="0" xfId="27" applyFont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24" fillId="2" borderId="4" xfId="0" applyFont="1" applyFill="1" applyBorder="1" applyAlignment="1">
      <alignment horizontal="center"/>
    </xf>
    <xf numFmtId="0" fontId="19" fillId="0" borderId="0" xfId="27" applyFont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2" fillId="0" borderId="0" xfId="27" applyNumberFormat="1" applyFont="1" applyBorder="1" applyAlignment="1">
      <alignment horizontal="center"/>
    </xf>
    <xf numFmtId="0" fontId="43" fillId="0" borderId="0" xfId="27" applyNumberFormat="1" applyFont="1" applyBorder="1" applyAlignment="1">
      <alignment horizontal="center"/>
    </xf>
    <xf numFmtId="0" fontId="45" fillId="0" borderId="0" xfId="27" applyFont="1" applyBorder="1" applyAlignment="1">
      <alignment horizontal="center"/>
    </xf>
    <xf numFmtId="169" fontId="19" fillId="0" borderId="0" xfId="27" applyNumberFormat="1" applyFont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47" fillId="0" borderId="0" xfId="17" applyFont="1" applyFill="1" applyBorder="1" applyAlignment="1">
      <alignment horizontal="center"/>
    </xf>
    <xf numFmtId="0" fontId="48" fillId="0" borderId="0" xfId="17" applyFont="1" applyFill="1" applyBorder="1" applyAlignment="1">
      <alignment horizontal="center"/>
    </xf>
    <xf numFmtId="0" fontId="47" fillId="0" borderId="4" xfId="17" applyFont="1" applyFill="1" applyBorder="1" applyAlignment="1">
      <alignment horizontal="center" vertical="center"/>
    </xf>
    <xf numFmtId="0" fontId="47" fillId="0" borderId="19" xfId="17" applyFont="1" applyFill="1" applyBorder="1" applyAlignment="1">
      <alignment horizontal="center" vertical="center"/>
    </xf>
    <xf numFmtId="0" fontId="47" fillId="0" borderId="20" xfId="17" applyFont="1" applyFill="1" applyBorder="1" applyAlignment="1">
      <alignment horizontal="center" vertical="center"/>
    </xf>
    <xf numFmtId="0" fontId="47" fillId="6" borderId="0" xfId="0" applyFont="1" applyFill="1" applyBorder="1" applyAlignment="1" applyProtection="1">
      <alignment horizontal="center"/>
    </xf>
    <xf numFmtId="0" fontId="49" fillId="6" borderId="0" xfId="0" applyFont="1" applyFill="1" applyBorder="1" applyAlignment="1" applyProtection="1">
      <alignment horizontal="center"/>
    </xf>
    <xf numFmtId="0" fontId="4" fillId="6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left"/>
    </xf>
    <xf numFmtId="180" fontId="67" fillId="6" borderId="16" xfId="0" applyNumberFormat="1" applyFont="1" applyFill="1" applyBorder="1" applyAlignment="1" applyProtection="1">
      <alignment horizontal="center"/>
    </xf>
    <xf numFmtId="0" fontId="47" fillId="0" borderId="0" xfId="0" applyFont="1" applyFill="1" applyBorder="1" applyAlignment="1" applyProtection="1">
      <alignment horizontal="center"/>
    </xf>
    <xf numFmtId="0" fontId="49" fillId="0" borderId="0" xfId="0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/>
    </xf>
    <xf numFmtId="0" fontId="7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3" fillId="0" borderId="0" xfId="0" applyFont="1" applyBorder="1" applyAlignment="1">
      <alignment horizontal="center"/>
    </xf>
    <xf numFmtId="0" fontId="49" fillId="6" borderId="0" xfId="0" applyFont="1" applyFill="1" applyBorder="1" applyAlignment="1">
      <alignment horizontal="center"/>
    </xf>
    <xf numFmtId="0" fontId="11" fillId="6" borderId="0" xfId="0" applyFont="1" applyFill="1" applyBorder="1" applyAlignment="1" applyProtection="1">
      <alignment horizontal="center" vertical="center"/>
    </xf>
    <xf numFmtId="0" fontId="0" fillId="0" borderId="0" xfId="26" applyFont="1" applyFill="1" applyBorder="1" applyAlignment="1">
      <alignment horizontal="center"/>
    </xf>
    <xf numFmtId="0" fontId="72" fillId="6" borderId="0" xfId="26" applyFont="1" applyFill="1" applyBorder="1" applyAlignment="1">
      <alignment horizontal="center"/>
    </xf>
    <xf numFmtId="0" fontId="4" fillId="0" borderId="0" xfId="26" applyFont="1" applyFill="1" applyBorder="1" applyAlignment="1">
      <alignment horizontal="center"/>
    </xf>
    <xf numFmtId="0" fontId="48" fillId="6" borderId="0" xfId="17" applyFont="1" applyFill="1" applyBorder="1" applyAlignment="1">
      <alignment horizontal="center"/>
    </xf>
    <xf numFmtId="171" fontId="73" fillId="6" borderId="27" xfId="2" applyNumberFormat="1" applyFont="1" applyFill="1" applyBorder="1" applyAlignment="1" applyProtection="1">
      <alignment horizontal="center"/>
    </xf>
    <xf numFmtId="171" fontId="47" fillId="6" borderId="17" xfId="2" applyNumberFormat="1" applyFont="1" applyFill="1" applyBorder="1" applyAlignment="1" applyProtection="1">
      <alignment horizontal="center" vertical="center"/>
    </xf>
    <xf numFmtId="0" fontId="47" fillId="4" borderId="4" xfId="17" applyFont="1" applyFill="1" applyBorder="1" applyAlignment="1">
      <alignment horizontal="center" vertical="center"/>
    </xf>
    <xf numFmtId="0" fontId="47" fillId="4" borderId="19" xfId="17" applyFont="1" applyFill="1" applyBorder="1" applyAlignment="1">
      <alignment horizontal="center" vertical="center"/>
    </xf>
    <xf numFmtId="0" fontId="47" fillId="4" borderId="20" xfId="17" applyFont="1" applyFill="1" applyBorder="1" applyAlignment="1">
      <alignment horizontal="center" vertical="center"/>
    </xf>
    <xf numFmtId="0" fontId="47" fillId="6" borderId="4" xfId="17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4" fillId="0" borderId="0" xfId="0" applyFont="1" applyBorder="1" applyAlignment="1">
      <alignment horizontal="center"/>
    </xf>
    <xf numFmtId="0" fontId="95" fillId="0" borderId="0" xfId="0" applyFont="1" applyBorder="1" applyAlignment="1">
      <alignment horizontal="center"/>
    </xf>
    <xf numFmtId="0" fontId="4" fillId="0" borderId="0" xfId="17" applyFont="1" applyFill="1" applyBorder="1" applyAlignment="1" applyProtection="1">
      <alignment horizontal="center"/>
    </xf>
    <xf numFmtId="0" fontId="47" fillId="4" borderId="4" xfId="17" applyFont="1" applyFill="1" applyBorder="1" applyAlignment="1" applyProtection="1">
      <alignment horizontal="center" vertical="center"/>
    </xf>
    <xf numFmtId="0" fontId="47" fillId="4" borderId="19" xfId="17" applyFont="1" applyFill="1" applyBorder="1" applyAlignment="1" applyProtection="1">
      <alignment horizontal="center" vertical="center"/>
    </xf>
    <xf numFmtId="0" fontId="47" fillId="4" borderId="20" xfId="17" applyFont="1" applyFill="1" applyBorder="1" applyAlignment="1" applyProtection="1">
      <alignment horizontal="center" vertical="center"/>
    </xf>
    <xf numFmtId="0" fontId="47" fillId="6" borderId="4" xfId="17" applyFont="1" applyFill="1" applyBorder="1" applyAlignment="1" applyProtection="1">
      <alignment horizontal="center" vertical="center"/>
    </xf>
    <xf numFmtId="166" fontId="50" fillId="0" borderId="80" xfId="1" applyNumberFormat="1" applyFont="1" applyFill="1" applyBorder="1" applyAlignment="1" applyProtection="1">
      <alignment horizontal="center" vertical="center"/>
    </xf>
    <xf numFmtId="0" fontId="99" fillId="21" borderId="16" xfId="17" applyFont="1" applyFill="1" applyBorder="1" applyAlignment="1" applyProtection="1">
      <alignment horizontal="left"/>
      <protection locked="0"/>
    </xf>
    <xf numFmtId="180" fontId="100" fillId="5" borderId="82" xfId="7" applyNumberFormat="1" applyFont="1" applyFill="1" applyBorder="1" applyAlignment="1" applyProtection="1">
      <protection locked="0"/>
    </xf>
    <xf numFmtId="180" fontId="100" fillId="5" borderId="82" xfId="13" applyNumberFormat="1" applyFont="1" applyFill="1" applyBorder="1" applyAlignment="1" applyProtection="1">
      <protection locked="0"/>
    </xf>
    <xf numFmtId="180" fontId="101" fillId="5" borderId="42" xfId="7" applyNumberFormat="1" applyFont="1" applyFill="1" applyBorder="1" applyAlignment="1" applyProtection="1">
      <protection locked="0"/>
    </xf>
    <xf numFmtId="0" fontId="102" fillId="21" borderId="16" xfId="0" applyFont="1" applyFill="1" applyBorder="1" applyAlignment="1" applyProtection="1">
      <alignment horizontal="left"/>
      <protection locked="0"/>
    </xf>
    <xf numFmtId="180" fontId="100" fillId="5" borderId="83" xfId="7" applyNumberFormat="1" applyFont="1" applyFill="1" applyBorder="1" applyAlignment="1" applyProtection="1">
      <protection locked="0"/>
    </xf>
    <xf numFmtId="0" fontId="102" fillId="21" borderId="16" xfId="17" applyFont="1" applyFill="1" applyBorder="1" applyAlignment="1" applyProtection="1">
      <alignment horizontal="left"/>
      <protection locked="0"/>
    </xf>
    <xf numFmtId="180" fontId="101" fillId="5" borderId="82" xfId="7" applyNumberFormat="1" applyFont="1" applyFill="1" applyBorder="1" applyAlignment="1" applyProtection="1">
      <protection locked="0"/>
    </xf>
    <xf numFmtId="180" fontId="100" fillId="5" borderId="0" xfId="1" applyNumberFormat="1" applyFont="1" applyFill="1" applyBorder="1" applyAlignment="1" applyProtection="1"/>
    <xf numFmtId="49" fontId="100" fillId="21" borderId="16" xfId="0" applyNumberFormat="1" applyFont="1" applyFill="1" applyBorder="1" applyAlignment="1"/>
    <xf numFmtId="0" fontId="11" fillId="22" borderId="0" xfId="0" applyFont="1" applyFill="1" applyAlignment="1">
      <alignment horizontal="left" indent="3"/>
    </xf>
    <xf numFmtId="0" fontId="3" fillId="23" borderId="0" xfId="0" applyFont="1" applyFill="1" applyAlignment="1">
      <alignment horizontal="left" indent="3"/>
    </xf>
    <xf numFmtId="180" fontId="3" fillId="22" borderId="0" xfId="0" applyNumberFormat="1" applyFont="1" applyFill="1" applyProtection="1"/>
    <xf numFmtId="0" fontId="99" fillId="22" borderId="0" xfId="0" quotePrefix="1" applyFont="1" applyFill="1" applyAlignment="1" applyProtection="1">
      <alignment horizontal="right"/>
    </xf>
    <xf numFmtId="183" fontId="11" fillId="21" borderId="0" xfId="3" applyNumberFormat="1" applyFont="1" applyFill="1" applyBorder="1" applyAlignment="1" applyProtection="1"/>
  </cellXfs>
  <cellStyles count="32">
    <cellStyle name="Comma" xfId="1" builtinId="3"/>
    <cellStyle name="Comma 2" xfId="4"/>
    <cellStyle name="Comma 2 2" xfId="5"/>
    <cellStyle name="Comma 2 2 2" xfId="6"/>
    <cellStyle name="Comma 2 2 3" xfId="7"/>
    <cellStyle name="Comma 2 3" xfId="8"/>
    <cellStyle name="Comma 2 3 2" xfId="9"/>
    <cellStyle name="Comma 3" xfId="10"/>
    <cellStyle name="Currency" xfId="2" builtinId="4"/>
    <cellStyle name="Currency 2" xfId="11"/>
    <cellStyle name="Currency 2 2" xfId="12"/>
    <cellStyle name="Currency 2 2 2" xfId="13"/>
    <cellStyle name="Currency 3" xfId="14"/>
    <cellStyle name="Normal" xfId="0" builtinId="0"/>
    <cellStyle name="Normal 2" xfId="15"/>
    <cellStyle name="Normal 2 2" xfId="16"/>
    <cellStyle name="Normal 2 2 2" xfId="17"/>
    <cellStyle name="Normal 2 2_tmp121" xfId="18"/>
    <cellStyle name="Normal 2 3" xfId="19"/>
    <cellStyle name="Normal 2 4" xfId="20"/>
    <cellStyle name="Normal 2 4 2" xfId="21"/>
    <cellStyle name="Normal 2_Jet301" xfId="22"/>
    <cellStyle name="Normal 4" xfId="23"/>
    <cellStyle name="Normal_Amort 2014" xfId="24"/>
    <cellStyle name="Normal_Assess_Detail " xfId="25"/>
    <cellStyle name="Normal_DISTRICTS-#12010-v1-Harmony-Adopted_Budget_FY_2005" xfId="26"/>
    <cellStyle name="Normal_sample_cover_page" xfId="27"/>
    <cellStyle name="Normal_Sheet1" xfId="28"/>
    <cellStyle name="Percent" xfId="3" builtinId="5"/>
    <cellStyle name="Percent 2" xfId="29"/>
    <cellStyle name="Percent 3" xfId="30"/>
    <cellStyle name="Perc䁥nt" xfId="31"/>
  </cellStyles>
  <dxfs count="3">
    <dxf>
      <border>
        <left/>
        <right style="thin">
          <color indexed="8"/>
        </right>
        <top/>
        <bottom/>
      </border>
    </dxf>
    <dxf>
      <border>
        <left/>
        <right style="thin">
          <color indexed="8"/>
        </right>
        <top/>
        <bottom/>
      </border>
    </dxf>
    <dxf>
      <border>
        <left/>
        <right style="thin">
          <color indexed="8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1E1D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AF1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externalLink" Target="externalLinks/externalLink11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36</xdr:row>
      <xdr:rowOff>19050</xdr:rowOff>
    </xdr:from>
    <xdr:to>
      <xdr:col>7</xdr:col>
      <xdr:colOff>238125</xdr:colOff>
      <xdr:row>40</xdr:row>
      <xdr:rowOff>104775</xdr:rowOff>
    </xdr:to>
    <xdr:pic>
      <xdr:nvPicPr>
        <xdr:cNvPr id="307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6515100"/>
          <a:ext cx="1219200" cy="7334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cessna/Local%20Settings/Temporary%20Internet%20Files/OLK82/DISTRICTS-%25252525252339639-v8-Meadow_Pointe_II_FY_2011_Proposed_Budg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msfs1\JetReports\Testing\gldetails-expenditures_vendor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1JetReports\Budgets\proposedBudget\Governmental\ProposedBudget_g_sb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armony%20Proposed%20Budget%20FY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cessna.STSWATER.288/Application%20Data/Hummingbird/DM/Temp/DISTRICTS-%25252525252347391-v5-Urban_Orlando_Budget_FY_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cessna.STSWATER.288/Application%20Data/Hummingbird/DM/Temp/DISTRICTS-%25252525252335434-v15-Lexington_Oaks_Adopted_Budget_FY_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msfs1\JetReports\Expenditures\gldetails-expenditures_w_varianc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msfs1\JetReports\AP\Navigator\checkRegister_byFund\AP_CheckRegister_by_Fundv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cessna.STSWATER.288/Application%20Data/Hummingbird/DM/Temp/DISTRICTS-%25252525252347150-v15-Lexington_Oaks_Budget_FY_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msfs1\JetReports\Testing\0310\Trend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cessna.STSWATER.288/Application%20Data/Hummingbird/DM/Temp/DISTRICTS-%25252525252319404-v1-Lakewood_Ranch_Financials_Nov_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inaS/Local%20Settings/Temporary%20Internet%20Files/OLK236/DISTRICTS-%25252525252311314-v1-Crossings_Financials_2004_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Cover"/>
      <sheetName val="TOC"/>
      <sheetName val="TABS"/>
      <sheetName val="001"/>
      <sheetName val="001_Notes"/>
      <sheetName val="GF_Allocation_Reserve"/>
      <sheetName val="002"/>
      <sheetName val="Deed_Allocation_Reserve"/>
      <sheetName val="003 Charlesworth"/>
      <sheetName val="004 Colehaven"/>
      <sheetName val="005 Covina Key"/>
      <sheetName val="006 Glenham"/>
      <sheetName val="007 Iverson"/>
      <sheetName val="008 Lettingwell"/>
      <sheetName val="009 Longleaf"/>
      <sheetName val="010 Manor Isle"/>
      <sheetName val="011 Sedgwick"/>
      <sheetName val="012 Tullamore"/>
      <sheetName val="013 Vermillion"/>
      <sheetName val="014 Wrencrest"/>
      <sheetName val="Villages_Allocation_Reserve"/>
      <sheetName val="206"/>
      <sheetName val="Amort 2004"/>
      <sheetName val="DS_Allocation_Reserve"/>
      <sheetName val="Assessment Matrix"/>
      <sheetName val="Calc_wksht"/>
      <sheetName val="Sheet22"/>
      <sheetName val="Sheet21"/>
      <sheetName val="Sheet20"/>
      <sheetName val="Sheet25"/>
      <sheetName val="Sheet24"/>
      <sheetName val="Sheet23"/>
      <sheetName val="Sheet28"/>
      <sheetName val="Sheet27"/>
      <sheetName val="Sheet26"/>
      <sheetName val="Sheet31"/>
      <sheetName val="Sheet30"/>
      <sheetName val="Sheet29"/>
      <sheetName val="Sheet34"/>
      <sheetName val="Sheet33"/>
      <sheetName val="Sheet32"/>
      <sheetName val="Sheet37"/>
      <sheetName val="Sheet36"/>
      <sheetName val="Sheet35"/>
      <sheetName val="Sheet47"/>
      <sheetName val="Sheet4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001"/>
      <sheetName val="Sheet11"/>
      <sheetName val="Sheet10"/>
      <sheetName val="Sheet9"/>
      <sheetName val="Sheet3"/>
      <sheetName val="Sheet2"/>
      <sheetName val="Sheet1"/>
      <sheetName val="Sheet8"/>
      <sheetName val="Sheet7"/>
      <sheetName val="Sheet6"/>
      <sheetName val="Sheet15"/>
      <sheetName val="Sheet14"/>
      <sheetName val="Sheet13"/>
      <sheetName val="Sheet12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Cover"/>
      <sheetName val="001"/>
      <sheetName val="201"/>
      <sheetName val="Assess_Summary"/>
      <sheetName val="Sheet3"/>
      <sheetName val="Sheet2"/>
      <sheetName val="Sheet1"/>
      <sheetName val="Sheet9"/>
    </sheetNames>
    <sheetDataSet>
      <sheetData sheetId="0">
        <row r="5">
          <cell r="C5" t="str">
            <v>PROPOSED BUDGET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001"/>
      <sheetName val="201"/>
      <sheetName val="202"/>
      <sheetName val="Sheet10"/>
      <sheetName val="Sheet9"/>
      <sheetName val="Sheet8"/>
      <sheetName val="Sheet15"/>
      <sheetName val="Sheet16"/>
    </sheetNames>
    <sheetDataSet>
      <sheetData sheetId="0">
        <row r="5">
          <cell r="C5" t="str">
            <v>PROPOSED BUDGET</v>
          </cell>
          <cell r="J5" t="str">
            <v>NO</v>
          </cell>
        </row>
        <row r="6">
          <cell r="J6" t="str">
            <v>NO</v>
          </cell>
        </row>
        <row r="7">
          <cell r="E7" t="str">
            <v>HARMONY CDD</v>
          </cell>
          <cell r="J7" t="str">
            <v>YES</v>
          </cell>
        </row>
        <row r="8">
          <cell r="E8">
            <v>2007</v>
          </cell>
          <cell r="J8" t="str">
            <v>YES</v>
          </cell>
        </row>
        <row r="9">
          <cell r="E9">
            <v>39294</v>
          </cell>
          <cell r="J9" t="str">
            <v>YES</v>
          </cell>
        </row>
        <row r="10">
          <cell r="E10" t="str">
            <v>001..301</v>
          </cell>
          <cell r="J10" t="str">
            <v>YES</v>
          </cell>
        </row>
        <row r="11">
          <cell r="J11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Balance_Sheet"/>
      <sheetName val="Remove_Empty"/>
      <sheetName val="Modification"/>
      <sheetName val="COVER_PAGE"/>
      <sheetName val="TOC"/>
      <sheetName val="TABS"/>
      <sheetName val="001"/>
      <sheetName val="201"/>
      <sheetName val="Assess Summary"/>
      <sheetName val="Actuals"/>
      <sheetName val="Field Spreadsheet"/>
      <sheetName val="GF_Allocation_Reserve"/>
      <sheetName val="202"/>
      <sheetName val="Amort 2004"/>
      <sheetName val="203"/>
      <sheetName val="Amort2007"/>
      <sheetName val="DS_Allocation_Reserve"/>
      <sheetName val="Calc_wksht"/>
      <sheetName val="Sheet3"/>
      <sheetName val="Sheet2"/>
      <sheetName val="Sheet1"/>
      <sheetName val="Sheet6"/>
      <sheetName val="Sheet5"/>
      <sheetName val="Sheet4"/>
      <sheetName val="Sheet9"/>
      <sheetName val="Sheet8"/>
      <sheetName val="Sheet7"/>
      <sheetName val="Sheet12"/>
      <sheetName val="Sheet11"/>
      <sheetName val="Sheet10"/>
      <sheetName val="Sheet26"/>
      <sheetName val="Sheet27"/>
      <sheetName val="Sheet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Cover"/>
      <sheetName val="001"/>
      <sheetName val="GF_Allocation_Reserve"/>
      <sheetName val="202"/>
      <sheetName val="Amort 02"/>
      <sheetName val="204"/>
      <sheetName val="Amort 08-1"/>
      <sheetName val="205"/>
      <sheetName val="Amort 08-2"/>
      <sheetName val="Assessment Summary"/>
      <sheetName val="DS_Allocation_Reserve"/>
      <sheetName val="Calc_wksht"/>
      <sheetName val="Reserves"/>
      <sheetName val="Contract Control"/>
      <sheetName val="Sheet3"/>
      <sheetName val="Sheet2"/>
      <sheetName val="Sheet1"/>
      <sheetName val="Sheet6"/>
      <sheetName val="Sheet5"/>
      <sheetName val="Sheet4"/>
      <sheetName val="Sheet9"/>
      <sheetName val="Sheet8"/>
      <sheetName val="Sheet7"/>
      <sheetName val="Sheet12"/>
      <sheetName val="Sheet11"/>
      <sheetName val="Sheet10"/>
      <sheetName val="Sheet21"/>
      <sheetName val="Sheet22"/>
      <sheetName val="Sheet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001"/>
      <sheetName val="Sheet3"/>
      <sheetName val="Sheet2"/>
      <sheetName val="Sheet1"/>
      <sheetName val="Sheet7"/>
      <sheetName val="Sheet6"/>
      <sheetName val="Sheet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ar"/>
      <sheetName val="Report"/>
      <sheetName val="Sheet3"/>
      <sheetName val="Sheet2"/>
      <sheetName val="Sheet1"/>
      <sheetName val="Sheet13"/>
      <sheetName val="Sheet12"/>
      <sheetName val="Sheet11"/>
      <sheetName val="Sheet7"/>
      <sheetName val="Sheet6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Balance_Sheet"/>
      <sheetName val="Remove_Empty"/>
      <sheetName val="Modification page"/>
      <sheetName val="COVER_PAGE"/>
      <sheetName val="TOC"/>
      <sheetName val="TABS"/>
      <sheetName val="actual"/>
      <sheetName val="Assmt Sum"/>
      <sheetName val="001"/>
      <sheetName val="GF_Allocation_Reserve corrected"/>
      <sheetName val="GF_Allocation_Reserve"/>
      <sheetName val="002"/>
      <sheetName val="003"/>
      <sheetName val="204"/>
      <sheetName val="Amort 08-1 new"/>
      <sheetName val="Amort 08-1"/>
      <sheetName val="205"/>
      <sheetName val="Amort 08-2 new"/>
      <sheetName val="Amort 08-2"/>
      <sheetName val="206"/>
      <sheetName val="Amort 2011"/>
      <sheetName val="DS_Allocation_Reserve"/>
      <sheetName val="Calc_wksht"/>
      <sheetName val="Sheet3"/>
      <sheetName val="Sheet2"/>
      <sheetName val="Sheet1"/>
      <sheetName val="Sheet6"/>
      <sheetName val="Sheet5"/>
      <sheetName val="Sheet4"/>
      <sheetName val="Sheet9"/>
      <sheetName val="Sheet8"/>
      <sheetName val="Sheet7"/>
      <sheetName val="Sheet12"/>
      <sheetName val="Sheet11"/>
      <sheetName val="Sheet10"/>
      <sheetName val="Sheet29"/>
      <sheetName val="Sheet30"/>
      <sheetName val="Sheet31"/>
      <sheetName val="Sheet32"/>
      <sheetName val="Sheet33"/>
      <sheetName val="Sheet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Options"/>
      <sheetName val="Balance_Sheet"/>
      <sheetName val="Trend"/>
      <sheetName val="Sheet3"/>
      <sheetName val="Sheet2"/>
      <sheetName val="Sheet1"/>
      <sheetName val="Sheet6"/>
      <sheetName val="Sheet5"/>
      <sheetName val="Sheet4"/>
      <sheetName val="Sheet11"/>
      <sheetName val="Sheet10"/>
      <sheetName val="Sheet9"/>
      <sheetName val="Sheet14"/>
      <sheetName val="Sheet13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TABLE OF CONTENTS"/>
      <sheetName val="BS"/>
      <sheetName val="GF"/>
      <sheetName val="DS"/>
      <sheetName val="CP"/>
      <sheetName val="Pivot Table_GENERAL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ecovered_Sheet1"/>
      <sheetName val="Attendance"/>
      <sheetName val="cover"/>
      <sheetName val="BAL SH"/>
      <sheetName val="GF"/>
      <sheetName val="DSF 00"/>
      <sheetName val="CPF"/>
      <sheetName val="WS"/>
      <sheetName val="Invoice Approval"/>
      <sheetName val="Req Approv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opLeftCell="D2" zoomScaleSheetLayoutView="110" workbookViewId="0"/>
  </sheetViews>
  <sheetFormatPr defaultRowHeight="12"/>
  <cols>
    <col min="1" max="1" width="0" style="1" hidden="1" customWidth="1"/>
    <col min="2" max="2" width="4.28515625" style="1" customWidth="1"/>
    <col min="3" max="4" width="9.140625" style="1"/>
    <col min="5" max="5" width="21.85546875" style="1" customWidth="1"/>
    <col min="6" max="6" width="19.85546875" style="2" customWidth="1"/>
    <col min="7" max="16384" width="9.140625" style="1"/>
  </cols>
  <sheetData>
    <row r="1" spans="1:6" hidden="1">
      <c r="A1" s="1" t="s">
        <v>0</v>
      </c>
    </row>
    <row r="2" spans="1:6" ht="12.75">
      <c r="B2" s="1395" t="s">
        <v>1</v>
      </c>
      <c r="C2" s="1395"/>
      <c r="D2" s="1395"/>
      <c r="E2" s="1395"/>
      <c r="F2" s="1395"/>
    </row>
    <row r="4" spans="1:6" ht="15" customHeight="1"/>
    <row r="5" spans="1:6" ht="15" customHeight="1">
      <c r="C5" s="1" t="s">
        <v>2</v>
      </c>
      <c r="D5" s="3">
        <v>42498</v>
      </c>
      <c r="E5" s="3" t="s">
        <v>3</v>
      </c>
    </row>
  </sheetData>
  <sheetProtection selectLockedCells="1" selectUnlockedCells="1"/>
  <mergeCells count="1">
    <mergeCell ref="B2:F2"/>
  </mergeCells>
  <printOptions horizontalCentered="1"/>
  <pageMargins left="0.75" right="0.75" top="1.5333333333333332" bottom="0.76111111111111107" header="0.4" footer="0.51180555555555551"/>
  <pageSetup firstPageNumber="0" orientation="portrait" horizontalDpi="300" verticalDpi="300"/>
  <headerFooter alignWithMargins="0">
    <oddHeader>&amp;L&amp;"Arial black,Bold"&amp;12HARMONY
Community Development District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BF158"/>
  <sheetViews>
    <sheetView topLeftCell="R25" zoomScale="90" zoomScaleNormal="90" workbookViewId="0"/>
  </sheetViews>
  <sheetFormatPr defaultRowHeight="12.75"/>
  <cols>
    <col min="1" max="4" width="0" style="271" hidden="1" customWidth="1"/>
    <col min="5" max="8" width="0" style="272" hidden="1" customWidth="1"/>
    <col min="9" max="10" width="0" style="271" hidden="1" customWidth="1"/>
    <col min="11" max="11" width="0" style="273" hidden="1" customWidth="1"/>
    <col min="12" max="13" width="0" style="274" hidden="1" customWidth="1"/>
    <col min="14" max="17" width="0" style="271" hidden="1" customWidth="1"/>
    <col min="18" max="18" width="35.7109375" style="271" customWidth="1"/>
    <col min="19" max="20" width="0" style="271" hidden="1" customWidth="1"/>
    <col min="21" max="21" width="0.42578125" style="271" customWidth="1"/>
    <col min="22" max="27" width="0" style="271" hidden="1" customWidth="1"/>
    <col min="28" max="28" width="11.7109375" style="271" customWidth="1"/>
    <col min="29" max="29" width="0.42578125" style="271" customWidth="1"/>
    <col min="30" max="31" width="0" style="271" hidden="1" customWidth="1"/>
    <col min="32" max="32" width="11.7109375" style="271" customWidth="1"/>
    <col min="33" max="33" width="0.42578125" style="271" customWidth="1"/>
    <col min="34" max="34" width="11.7109375" style="271" customWidth="1"/>
    <col min="35" max="35" width="0.42578125" style="271" customWidth="1"/>
    <col min="36" max="36" width="11.7109375" style="271" customWidth="1"/>
    <col min="37" max="37" width="0.42578125" style="271" customWidth="1"/>
    <col min="38" max="38" width="11.7109375" style="271" customWidth="1"/>
    <col min="39" max="39" width="0.42578125" style="271" customWidth="1"/>
    <col min="40" max="41" width="0" style="271" hidden="1" customWidth="1"/>
    <col min="42" max="42" width="11.7109375" style="271" customWidth="1"/>
    <col min="43" max="43" width="0" style="271" hidden="1" customWidth="1"/>
    <col min="44" max="44" width="0.85546875" style="271" customWidth="1"/>
    <col min="45" max="45" width="58.7109375" style="274" customWidth="1"/>
    <col min="46" max="58" width="0" style="271" hidden="1" customWidth="1"/>
    <col min="59" max="16384" width="9.140625" style="271"/>
  </cols>
  <sheetData>
    <row r="1" spans="1:58" s="275" customFormat="1" hidden="1">
      <c r="A1" s="275" t="s">
        <v>480</v>
      </c>
      <c r="B1" s="276" t="s">
        <v>53</v>
      </c>
      <c r="C1" s="275" t="s">
        <v>31</v>
      </c>
      <c r="D1" s="275" t="s">
        <v>31</v>
      </c>
      <c r="E1" s="275" t="s">
        <v>31</v>
      </c>
      <c r="F1" s="275" t="s">
        <v>31</v>
      </c>
      <c r="G1" s="277" t="s">
        <v>234</v>
      </c>
      <c r="H1" s="275" t="s">
        <v>31</v>
      </c>
      <c r="I1" s="275" t="s">
        <v>31</v>
      </c>
      <c r="J1" s="275" t="s">
        <v>31</v>
      </c>
      <c r="K1" s="278" t="s">
        <v>31</v>
      </c>
      <c r="L1" s="275" t="s">
        <v>235</v>
      </c>
      <c r="M1" s="275" t="s">
        <v>235</v>
      </c>
      <c r="N1" s="275" t="s">
        <v>235</v>
      </c>
      <c r="O1" s="275" t="s">
        <v>235</v>
      </c>
      <c r="P1" s="275" t="str">
        <f>IF($F$9="no","Hide","Show")</f>
        <v>Hide</v>
      </c>
      <c r="Q1" s="275" t="str">
        <f>P1</f>
        <v>Hide</v>
      </c>
      <c r="R1" s="275" t="s">
        <v>62</v>
      </c>
      <c r="S1" s="275" t="s">
        <v>31</v>
      </c>
      <c r="T1" s="275" t="s">
        <v>31</v>
      </c>
      <c r="V1" s="275" t="str">
        <f>IF($F$7=4,"Show","Hide")</f>
        <v>Hide</v>
      </c>
      <c r="W1" s="275" t="str">
        <f>V1</f>
        <v>Hide</v>
      </c>
      <c r="X1" s="275" t="str">
        <f>IF($F$7&gt;=3,"Show","Hide")</f>
        <v>Hide</v>
      </c>
      <c r="Y1" s="275" t="str">
        <f>X1</f>
        <v>Hide</v>
      </c>
      <c r="Z1" s="275" t="str">
        <f>IF($F$7&gt;=2,"Show","Hide")</f>
        <v>Hide</v>
      </c>
      <c r="AA1" s="275" t="str">
        <f>Z1</f>
        <v>Hide</v>
      </c>
      <c r="AB1" s="275" t="str">
        <f>IF($F$7&gt;=1,"Show","Hide")</f>
        <v>Show</v>
      </c>
      <c r="AC1" s="275" t="str">
        <f>AB1</f>
        <v>Show</v>
      </c>
      <c r="AD1" s="275" t="str">
        <f>IF($F$8&gt;=2,"Show","Hide")</f>
        <v>Hide</v>
      </c>
      <c r="AE1" s="275" t="str">
        <f>AD1</f>
        <v>Hide</v>
      </c>
      <c r="AF1" s="275" t="str">
        <f>IF($F$8&gt;=1,"Show","Hide")</f>
        <v>Show</v>
      </c>
      <c r="AG1" s="275" t="str">
        <f>AF1</f>
        <v>Show</v>
      </c>
      <c r="AH1" s="275" t="str">
        <f>IF($F$9="no","Show","hide")</f>
        <v>Show</v>
      </c>
      <c r="AI1" s="275" t="str">
        <f>AH1</f>
        <v>Show</v>
      </c>
      <c r="AJ1" s="279" t="str">
        <f>"Data+"&amp;AH1</f>
        <v>Data+Show</v>
      </c>
      <c r="AK1" s="279" t="str">
        <f>AH1</f>
        <v>Show</v>
      </c>
      <c r="AL1" s="275" t="s">
        <v>62</v>
      </c>
      <c r="AM1" s="275" t="str">
        <f>AL1</f>
        <v>Show</v>
      </c>
      <c r="AN1" s="275" t="s">
        <v>31</v>
      </c>
      <c r="AO1" s="275" t="s">
        <v>31</v>
      </c>
      <c r="AP1" s="275" t="s">
        <v>236</v>
      </c>
      <c r="AQ1" s="275" t="s">
        <v>31</v>
      </c>
      <c r="AS1" s="275" t="s">
        <v>236</v>
      </c>
      <c r="AT1" s="275" t="s">
        <v>237</v>
      </c>
      <c r="AU1" s="275" t="s">
        <v>237</v>
      </c>
      <c r="AV1" s="275" t="s">
        <v>237</v>
      </c>
      <c r="AW1" s="275" t="s">
        <v>237</v>
      </c>
      <c r="AX1" s="275" t="s">
        <v>237</v>
      </c>
      <c r="AY1" s="275" t="s">
        <v>237</v>
      </c>
      <c r="AZ1" s="275" t="s">
        <v>237</v>
      </c>
      <c r="BA1" s="275" t="s">
        <v>237</v>
      </c>
      <c r="BB1" s="275" t="s">
        <v>237</v>
      </c>
      <c r="BC1" s="275" t="s">
        <v>237</v>
      </c>
      <c r="BD1" s="275" t="s">
        <v>237</v>
      </c>
      <c r="BE1" s="275" t="s">
        <v>237</v>
      </c>
      <c r="BF1" s="275" t="s">
        <v>237</v>
      </c>
    </row>
    <row r="2" spans="1:58" s="274" customFormat="1" ht="12" hidden="1">
      <c r="A2" s="281"/>
      <c r="B2" s="274" t="str">
        <f>IF(AQ131=0,"hidesheet","Hide")</f>
        <v>hidesheet</v>
      </c>
      <c r="C2" s="282" t="s">
        <v>135</v>
      </c>
      <c r="D2" s="282"/>
      <c r="E2" s="272"/>
      <c r="F2" s="272"/>
      <c r="G2" s="272"/>
      <c r="H2" s="283"/>
      <c r="I2" s="275"/>
      <c r="J2" s="275"/>
      <c r="K2" s="273"/>
      <c r="T2" s="274" t="str">
        <f>TEXT("..C"&amp;$F$5,"MM/DD/YYYY")</f>
        <v>..C02/29/2016</v>
      </c>
      <c r="V2" s="274" t="str">
        <f>I9</f>
        <v>..C9/30/2012</v>
      </c>
      <c r="X2" s="274" t="str">
        <f>I8</f>
        <v>..C9/30/2013</v>
      </c>
      <c r="Z2" s="274" t="str">
        <f>I7</f>
        <v>..C9/30/2014</v>
      </c>
      <c r="AB2" s="274" t="str">
        <f>I6</f>
        <v>..C9/30/2015</v>
      </c>
      <c r="AD2" s="274" t="str">
        <f>AB2</f>
        <v>..C9/30/2015</v>
      </c>
      <c r="AF2" s="274" t="str">
        <f>I5</f>
        <v>..C9/30/2016</v>
      </c>
      <c r="AH2" s="274" t="str">
        <f>TEXT("..C"&amp;$F$5,"MM/DD/YYYY")</f>
        <v>..C02/29/2016</v>
      </c>
      <c r="AJ2" s="274" t="str">
        <f>AH2</f>
        <v>..C02/29/2016</v>
      </c>
      <c r="AP2" s="275"/>
    </row>
    <row r="3" spans="1:58" s="274" customFormat="1" ht="12" hidden="1">
      <c r="B3" s="274" t="s">
        <v>31</v>
      </c>
      <c r="C3" s="282" t="s">
        <v>136</v>
      </c>
      <c r="D3" s="282"/>
      <c r="E3" s="272"/>
      <c r="F3" s="272"/>
      <c r="G3" s="272"/>
      <c r="H3" s="284" t="s">
        <v>238</v>
      </c>
      <c r="I3" s="285" t="s">
        <v>239</v>
      </c>
      <c r="J3" s="285" t="s">
        <v>240</v>
      </c>
      <c r="K3" s="273"/>
      <c r="T3" s="274" t="str">
        <f>$J$4</f>
        <v>10/1/2015..02/29/2016</v>
      </c>
      <c r="V3" s="274" t="s">
        <v>241</v>
      </c>
      <c r="X3" s="274" t="s">
        <v>242</v>
      </c>
      <c r="Z3" s="274" t="s">
        <v>243</v>
      </c>
      <c r="AB3" s="274" t="s">
        <v>244</v>
      </c>
      <c r="AD3" s="274" t="s">
        <v>244</v>
      </c>
      <c r="AF3" s="274" t="s">
        <v>245</v>
      </c>
      <c r="AH3" s="274" t="str">
        <f>$J$4</f>
        <v>10/1/2015..02/29/2016</v>
      </c>
      <c r="AJ3" s="274" t="s">
        <v>246</v>
      </c>
      <c r="AN3" s="275" t="s">
        <v>247</v>
      </c>
      <c r="AO3" s="275"/>
      <c r="AP3" s="275" t="s">
        <v>247</v>
      </c>
    </row>
    <row r="4" spans="1:58" s="274" customFormat="1" ht="15" hidden="1" customHeight="1">
      <c r="B4" s="274" t="s">
        <v>31</v>
      </c>
      <c r="E4" s="272" t="s">
        <v>248</v>
      </c>
      <c r="F4" s="286" t="s">
        <v>249</v>
      </c>
      <c r="G4" s="283"/>
      <c r="H4" s="283" t="str">
        <f>F4</f>
        <v>2017</v>
      </c>
      <c r="I4" s="274" t="str">
        <f t="shared" ref="I4:I10" si="0">"..C9/30/"&amp;H4</f>
        <v>..C9/30/2017</v>
      </c>
      <c r="J4" s="274" t="str">
        <f>"10/1/"&amp;H6&amp;".."&amp;F5</f>
        <v>10/1/2015..02/29/2016</v>
      </c>
      <c r="K4" s="273"/>
      <c r="T4" s="275" t="s">
        <v>251</v>
      </c>
      <c r="V4" s="275" t="s">
        <v>251</v>
      </c>
      <c r="W4" s="288"/>
      <c r="X4" s="275" t="s">
        <v>251</v>
      </c>
      <c r="Y4" s="288"/>
      <c r="Z4" s="275" t="s">
        <v>251</v>
      </c>
      <c r="AA4" s="288"/>
      <c r="AB4" s="275" t="s">
        <v>251</v>
      </c>
      <c r="AC4" s="288"/>
      <c r="AD4" s="275" t="s">
        <v>252</v>
      </c>
      <c r="AE4" s="288"/>
      <c r="AF4" s="275" t="s">
        <v>252</v>
      </c>
      <c r="AG4" s="275"/>
      <c r="AH4" s="275" t="s">
        <v>251</v>
      </c>
      <c r="AI4" s="275"/>
      <c r="AJ4" s="275" t="s">
        <v>252</v>
      </c>
      <c r="AK4" s="275"/>
      <c r="AL4" s="275" t="s">
        <v>252</v>
      </c>
      <c r="AM4" s="275"/>
      <c r="AN4" s="275" t="s">
        <v>252</v>
      </c>
      <c r="AO4" s="275"/>
      <c r="AP4" s="275" t="s">
        <v>252</v>
      </c>
      <c r="AQ4" s="275"/>
      <c r="AR4" s="288"/>
      <c r="AS4" s="288"/>
    </row>
    <row r="5" spans="1:58" s="274" customFormat="1" ht="15" hidden="1" customHeight="1">
      <c r="B5" s="274" t="s">
        <v>31</v>
      </c>
      <c r="C5" s="274" t="s">
        <v>253</v>
      </c>
      <c r="D5" s="274" t="s">
        <v>74</v>
      </c>
      <c r="E5" s="272" t="s">
        <v>87</v>
      </c>
      <c r="F5" s="512" t="s">
        <v>481</v>
      </c>
      <c r="G5" s="513"/>
      <c r="H5" s="283">
        <f t="shared" ref="H5:H10" si="1">H4-1</f>
        <v>2016</v>
      </c>
      <c r="I5" s="274" t="str">
        <f t="shared" si="0"/>
        <v>..C9/30/2016</v>
      </c>
      <c r="J5" s="274" t="s">
        <v>254</v>
      </c>
      <c r="K5" s="273"/>
      <c r="O5" s="288"/>
      <c r="P5" s="288"/>
      <c r="Q5" s="288"/>
      <c r="R5" s="288"/>
      <c r="S5" s="288"/>
      <c r="T5" s="275" t="str">
        <f>AF5</f>
        <v>..C9/30/2015</v>
      </c>
      <c r="U5" s="288"/>
      <c r="V5" s="275" t="str">
        <f>I10</f>
        <v>..C9/30/2011</v>
      </c>
      <c r="W5" s="275"/>
      <c r="X5" s="275" t="str">
        <f>V2</f>
        <v>..C9/30/2012</v>
      </c>
      <c r="Y5" s="275"/>
      <c r="Z5" s="275" t="str">
        <f>X2</f>
        <v>..C9/30/2013</v>
      </c>
      <c r="AA5" s="275"/>
      <c r="AB5" s="275" t="str">
        <f>Z2</f>
        <v>..C9/30/2014</v>
      </c>
      <c r="AC5" s="275"/>
      <c r="AD5" s="275" t="str">
        <f>AB5</f>
        <v>..C9/30/2014</v>
      </c>
      <c r="AE5" s="275"/>
      <c r="AF5" s="275" t="str">
        <f>AD2</f>
        <v>..C9/30/2015</v>
      </c>
      <c r="AG5" s="292"/>
      <c r="AH5" s="275" t="str">
        <f>AF5</f>
        <v>..C9/30/2015</v>
      </c>
      <c r="AI5" s="288"/>
      <c r="AJ5" s="275" t="e">
        <f>I11</f>
        <v>#VALUE!</v>
      </c>
      <c r="AK5" s="288"/>
      <c r="AL5" s="288"/>
      <c r="AM5" s="288"/>
      <c r="AN5" s="275" t="str">
        <f>$I$4</f>
        <v>..C9/30/2017</v>
      </c>
      <c r="AO5" s="275"/>
      <c r="AP5" s="275" t="str">
        <f>$I$4</f>
        <v>..C9/30/2017</v>
      </c>
      <c r="AQ5" s="288"/>
      <c r="AR5" s="288"/>
      <c r="AS5" s="288"/>
    </row>
    <row r="6" spans="1:58" s="274" customFormat="1" ht="12" hidden="1">
      <c r="B6" s="274" t="s">
        <v>31</v>
      </c>
      <c r="C6" s="274" t="s">
        <v>255</v>
      </c>
      <c r="D6" s="274" t="s">
        <v>57</v>
      </c>
      <c r="E6" s="272" t="s">
        <v>256</v>
      </c>
      <c r="F6" s="286" t="s">
        <v>92</v>
      </c>
      <c r="G6" s="283"/>
      <c r="H6" s="283">
        <f t="shared" si="1"/>
        <v>2015</v>
      </c>
      <c r="I6" s="274" t="str">
        <f t="shared" si="0"/>
        <v>..C9/30/2015</v>
      </c>
      <c r="J6" s="274" t="s">
        <v>257</v>
      </c>
      <c r="K6" s="273"/>
      <c r="O6" s="288"/>
      <c r="P6" s="288"/>
      <c r="Q6" s="288"/>
      <c r="R6" s="288"/>
      <c r="S6" s="288"/>
      <c r="T6" s="288"/>
      <c r="U6" s="288"/>
      <c r="V6" s="275"/>
      <c r="X6" s="275"/>
      <c r="Z6" s="275"/>
      <c r="AB6" s="275"/>
      <c r="AD6" s="275" t="s">
        <v>99</v>
      </c>
      <c r="AF6" s="275" t="s">
        <v>99</v>
      </c>
      <c r="AH6" s="275"/>
      <c r="AJ6" s="275" t="s">
        <v>99</v>
      </c>
      <c r="AL6" s="275"/>
      <c r="AN6" s="275" t="s">
        <v>99</v>
      </c>
      <c r="AO6" s="275"/>
      <c r="AP6" s="275" t="s">
        <v>99</v>
      </c>
    </row>
    <row r="7" spans="1:58" s="274" customFormat="1" ht="12" hidden="1">
      <c r="B7" s="274" t="s">
        <v>31</v>
      </c>
      <c r="C7" s="274" t="s">
        <v>65</v>
      </c>
      <c r="D7" s="274" t="s">
        <v>60</v>
      </c>
      <c r="E7" s="272" t="s">
        <v>258</v>
      </c>
      <c r="F7" s="294">
        <v>1</v>
      </c>
      <c r="G7" s="283"/>
      <c r="H7" s="283">
        <f t="shared" si="1"/>
        <v>2014</v>
      </c>
      <c r="I7" s="274" t="str">
        <f t="shared" si="0"/>
        <v>..C9/30/2014</v>
      </c>
      <c r="J7" s="274" t="s">
        <v>247</v>
      </c>
      <c r="K7" s="273"/>
      <c r="V7" s="275"/>
      <c r="X7" s="275"/>
      <c r="Z7" s="275"/>
      <c r="AB7" s="275"/>
      <c r="AD7" s="275" t="s">
        <v>260</v>
      </c>
      <c r="AF7" s="275" t="s">
        <v>260</v>
      </c>
      <c r="AH7" s="275"/>
      <c r="AN7" s="275" t="s">
        <v>260</v>
      </c>
      <c r="AO7" s="275"/>
      <c r="AP7" s="275" t="s">
        <v>260</v>
      </c>
    </row>
    <row r="8" spans="1:58" s="274" customFormat="1" ht="12" hidden="1">
      <c r="B8" s="274" t="s">
        <v>31</v>
      </c>
      <c r="C8" s="274" t="s">
        <v>261</v>
      </c>
      <c r="D8" s="274" t="s">
        <v>99</v>
      </c>
      <c r="E8" s="272" t="s">
        <v>262</v>
      </c>
      <c r="F8" s="294">
        <v>1</v>
      </c>
      <c r="G8" s="283"/>
      <c r="H8" s="283">
        <f t="shared" si="1"/>
        <v>2013</v>
      </c>
      <c r="I8" s="274" t="str">
        <f t="shared" si="0"/>
        <v>..C9/30/2013</v>
      </c>
      <c r="K8" s="273"/>
      <c r="P8" s="296"/>
      <c r="Q8" s="296"/>
      <c r="V8" s="275"/>
      <c r="X8" s="275"/>
      <c r="Z8" s="275"/>
      <c r="AB8" s="275"/>
      <c r="AD8" s="275" t="str">
        <f>RIGHT(AD2,4)&amp;"BUDA"</f>
        <v>2015BUDA</v>
      </c>
      <c r="AF8" s="275" t="str">
        <f>RIGHT(AF2,4)&amp;"BUDA"</f>
        <v>2016BUDA</v>
      </c>
      <c r="AH8" s="275"/>
    </row>
    <row r="9" spans="1:58" s="274" customFormat="1" ht="12" hidden="1">
      <c r="B9" s="274" t="s">
        <v>31</v>
      </c>
      <c r="C9" s="274" t="s">
        <v>263</v>
      </c>
      <c r="D9" s="274" t="s">
        <v>59</v>
      </c>
      <c r="E9" s="272" t="s">
        <v>264</v>
      </c>
      <c r="F9" s="286" t="s">
        <v>92</v>
      </c>
      <c r="G9" s="283"/>
      <c r="H9" s="283">
        <f t="shared" si="1"/>
        <v>2012</v>
      </c>
      <c r="I9" s="274" t="str">
        <f t="shared" si="0"/>
        <v>..C9/30/2012</v>
      </c>
      <c r="K9" s="273"/>
      <c r="P9" s="296"/>
      <c r="Q9" s="296"/>
    </row>
    <row r="10" spans="1:58" s="274" customFormat="1" hidden="1">
      <c r="B10" s="274" t="s">
        <v>31</v>
      </c>
      <c r="C10" s="34" t="s">
        <v>265</v>
      </c>
      <c r="D10" s="274" t="s">
        <v>135</v>
      </c>
      <c r="E10" s="272" t="s">
        <v>266</v>
      </c>
      <c r="F10" s="286" t="s">
        <v>92</v>
      </c>
      <c r="G10" s="283"/>
      <c r="H10" s="283">
        <f t="shared" si="1"/>
        <v>2011</v>
      </c>
      <c r="I10" s="274" t="str">
        <f t="shared" si="0"/>
        <v>..C9/30/2011</v>
      </c>
      <c r="K10" s="273"/>
      <c r="P10" s="296"/>
      <c r="Q10" s="296"/>
    </row>
    <row r="11" spans="1:58" s="274" customFormat="1" hidden="1">
      <c r="B11" s="274" t="s">
        <v>31</v>
      </c>
      <c r="C11" s="34" t="s">
        <v>267</v>
      </c>
      <c r="D11" s="274" t="s">
        <v>136</v>
      </c>
      <c r="E11" s="272" t="s">
        <v>268</v>
      </c>
      <c r="F11" s="286" t="s">
        <v>91</v>
      </c>
      <c r="G11" s="283"/>
      <c r="H11" s="283" t="e">
        <f>RIGHT(I11,4)</f>
        <v>#VALUE!</v>
      </c>
      <c r="I11" s="274" t="e">
        <f>"..C9/30/"&amp;IF(MONTH(F5)&lt;10,YEAR(F5),YEAR(F5)+1)</f>
        <v>#VALUE!</v>
      </c>
      <c r="K11" s="273"/>
      <c r="P11" s="296"/>
      <c r="Q11" s="296"/>
    </row>
    <row r="12" spans="1:58" s="274" customFormat="1" ht="13.5" hidden="1">
      <c r="B12" s="274" t="s">
        <v>31</v>
      </c>
      <c r="E12" s="272" t="s">
        <v>269</v>
      </c>
      <c r="F12" s="286" t="s">
        <v>99</v>
      </c>
      <c r="G12" s="283"/>
      <c r="H12" s="283"/>
      <c r="J12" s="297" t="s">
        <v>106</v>
      </c>
      <c r="K12" s="273"/>
      <c r="P12" s="296"/>
      <c r="Q12" s="296"/>
    </row>
    <row r="13" spans="1:58" s="274" customFormat="1" ht="13.5" hidden="1">
      <c r="B13" s="274" t="s">
        <v>31</v>
      </c>
      <c r="E13" s="272" t="s">
        <v>270</v>
      </c>
      <c r="F13" s="286" t="s">
        <v>91</v>
      </c>
      <c r="G13" s="283"/>
      <c r="H13" s="283"/>
      <c r="J13" s="298" t="s">
        <v>271</v>
      </c>
      <c r="K13" s="273"/>
      <c r="P13" s="296"/>
      <c r="Q13" s="296"/>
    </row>
    <row r="14" spans="1:58" s="274" customFormat="1" ht="12" hidden="1">
      <c r="B14" s="274" t="s">
        <v>31</v>
      </c>
      <c r="E14" s="272" t="s">
        <v>97</v>
      </c>
      <c r="F14" s="286" t="s">
        <v>92</v>
      </c>
      <c r="G14" s="283"/>
      <c r="H14" s="283"/>
      <c r="K14" s="273"/>
      <c r="P14" s="296"/>
      <c r="Q14" s="296"/>
    </row>
    <row r="15" spans="1:58" s="274" customFormat="1" ht="12" hidden="1">
      <c r="B15" s="274" t="s">
        <v>31</v>
      </c>
      <c r="E15" s="272" t="s">
        <v>272</v>
      </c>
      <c r="F15" s="286" t="s">
        <v>92</v>
      </c>
      <c r="G15" s="283"/>
      <c r="H15" s="283"/>
      <c r="K15" s="273"/>
      <c r="P15" s="296"/>
      <c r="Q15" s="296"/>
    </row>
    <row r="16" spans="1:58" s="274" customFormat="1" ht="12" hidden="1">
      <c r="B16" s="274" t="s">
        <v>31</v>
      </c>
      <c r="E16" s="272" t="s">
        <v>102</v>
      </c>
      <c r="F16" s="286" t="s">
        <v>92</v>
      </c>
      <c r="G16" s="283"/>
      <c r="H16" s="283"/>
      <c r="K16" s="273"/>
      <c r="P16" s="296"/>
      <c r="Q16" s="296"/>
    </row>
    <row r="17" spans="1:45" s="274" customFormat="1" ht="12" hidden="1">
      <c r="B17" s="274" t="s">
        <v>31</v>
      </c>
      <c r="E17" s="272" t="s">
        <v>65</v>
      </c>
      <c r="F17" s="300" t="str">
        <f>"201"</f>
        <v>201</v>
      </c>
      <c r="G17" s="272"/>
      <c r="H17" s="272"/>
      <c r="K17" s="273"/>
      <c r="P17" s="296"/>
      <c r="Q17" s="296"/>
    </row>
    <row r="18" spans="1:45" s="274" customFormat="1" ht="12" hidden="1">
      <c r="B18" s="274" t="s">
        <v>31</v>
      </c>
      <c r="E18" s="272"/>
      <c r="F18" s="272"/>
      <c r="G18" s="272"/>
      <c r="H18" s="272"/>
      <c r="K18" s="273"/>
      <c r="P18" s="296"/>
      <c r="Q18" s="296"/>
    </row>
    <row r="19" spans="1:45" s="274" customFormat="1" ht="12" hidden="1">
      <c r="B19" s="274" t="s">
        <v>31</v>
      </c>
      <c r="E19" s="301" t="s">
        <v>273</v>
      </c>
      <c r="F19" s="272"/>
      <c r="G19" s="272"/>
      <c r="H19" s="302" t="s">
        <v>274</v>
      </c>
      <c r="K19" s="273"/>
      <c r="O19" s="296"/>
      <c r="P19" s="296"/>
      <c r="Q19" s="296"/>
    </row>
    <row r="20" spans="1:45" s="274" customFormat="1" ht="12" hidden="1">
      <c r="B20" s="274" t="s">
        <v>31</v>
      </c>
      <c r="E20" s="272" t="s">
        <v>275</v>
      </c>
      <c r="F20" s="272"/>
      <c r="G20" s="272"/>
      <c r="H20" s="272" t="s">
        <v>482</v>
      </c>
      <c r="K20" s="273"/>
      <c r="O20" s="296"/>
      <c r="P20" s="296"/>
      <c r="Q20" s="296"/>
    </row>
    <row r="21" spans="1:45" s="274" customFormat="1" ht="12" hidden="1">
      <c r="B21" s="274" t="s">
        <v>31</v>
      </c>
      <c r="E21" s="272" t="s">
        <v>276</v>
      </c>
      <c r="F21" s="272"/>
      <c r="G21" s="272"/>
      <c r="H21" s="272" t="s">
        <v>78</v>
      </c>
      <c r="K21" s="273"/>
      <c r="O21" s="296"/>
      <c r="P21" s="296"/>
      <c r="Q21" s="296"/>
    </row>
    <row r="22" spans="1:45" s="274" customFormat="1" ht="12" hidden="1">
      <c r="B22" s="274" t="s">
        <v>31</v>
      </c>
      <c r="E22" s="272" t="s">
        <v>65</v>
      </c>
      <c r="F22" s="275" t="str">
        <f>IF(F17="",0,F17)</f>
        <v>201</v>
      </c>
      <c r="G22" s="272"/>
      <c r="H22" s="303" t="str">
        <f>IF(F12="*",H20,H21)</f>
        <v>2001 Debt Service Fund</v>
      </c>
      <c r="K22" s="273"/>
      <c r="O22" s="296"/>
      <c r="P22" s="296"/>
      <c r="Q22" s="296"/>
    </row>
    <row r="23" spans="1:45" s="274" customFormat="1" ht="12" hidden="1">
      <c r="B23" s="274" t="s">
        <v>31</v>
      </c>
      <c r="E23" s="272" t="s">
        <v>277</v>
      </c>
      <c r="F23" s="272"/>
      <c r="G23" s="272"/>
      <c r="H23" s="272"/>
      <c r="K23" s="273"/>
      <c r="AS23" s="514"/>
    </row>
    <row r="24" spans="1:45" s="274" customFormat="1" hidden="1">
      <c r="A24" s="274" t="s">
        <v>235</v>
      </c>
      <c r="B24" s="274" t="s">
        <v>31</v>
      </c>
      <c r="E24" s="272" t="s">
        <v>278</v>
      </c>
      <c r="F24" s="272"/>
      <c r="G24" s="277" t="s">
        <v>279</v>
      </c>
      <c r="H24" s="272"/>
      <c r="K24" s="273"/>
      <c r="T24" s="275"/>
      <c r="AJ24" s="277" t="s">
        <v>280</v>
      </c>
      <c r="AP24" s="277" t="s">
        <v>281</v>
      </c>
      <c r="AS24" s="277" t="s">
        <v>282</v>
      </c>
    </row>
    <row r="25" spans="1:45" s="274" customFormat="1" ht="15.75">
      <c r="B25" s="274" t="s">
        <v>62</v>
      </c>
      <c r="E25" s="272"/>
      <c r="F25" s="272"/>
      <c r="G25" s="277"/>
      <c r="H25" s="272"/>
      <c r="K25" s="273"/>
      <c r="O25" s="305" t="s">
        <v>283</v>
      </c>
      <c r="P25" s="1424" t="str">
        <f>IF(ISERROR(IF(AND(VALUE($F$22)&gt;399,VALUE($F$22)&lt;500),$J$13,$J$12)),"",IF(AND(VALUE($F$22)&gt;399,VALUE($F$22)&lt;500),$J$13,$J$12))</f>
        <v>Summary of Revenues, Expenditures and Changes in Fund Balances</v>
      </c>
      <c r="Q25" s="1424"/>
      <c r="R25" s="1424"/>
      <c r="S25" s="1424"/>
      <c r="T25" s="1424"/>
      <c r="U25" s="1424"/>
      <c r="V25" s="1424"/>
      <c r="W25" s="1424"/>
      <c r="X25" s="1424"/>
      <c r="Y25" s="1424"/>
      <c r="Z25" s="1424"/>
      <c r="AA25" s="1424"/>
      <c r="AB25" s="1424"/>
      <c r="AC25" s="1424"/>
      <c r="AD25" s="1424"/>
      <c r="AE25" s="1424"/>
      <c r="AF25" s="1424"/>
      <c r="AG25" s="1424"/>
      <c r="AH25" s="1424"/>
      <c r="AI25" s="1424"/>
      <c r="AJ25" s="1424"/>
      <c r="AK25" s="1424"/>
      <c r="AL25" s="1424"/>
      <c r="AM25" s="1424"/>
      <c r="AN25" s="1424"/>
      <c r="AO25" s="1424"/>
      <c r="AP25" s="1424"/>
      <c r="AS25" s="515"/>
    </row>
    <row r="26" spans="1:45" s="274" customFormat="1" ht="15.75">
      <c r="E26" s="272"/>
      <c r="F26" s="272"/>
      <c r="G26" s="277"/>
      <c r="H26" s="272"/>
      <c r="K26" s="273"/>
      <c r="O26" s="305" t="s">
        <v>284</v>
      </c>
      <c r="P26" s="1425" t="str">
        <f>H22</f>
        <v>2001 Debt Service Fund</v>
      </c>
      <c r="Q26" s="1425"/>
      <c r="R26" s="1425"/>
      <c r="S26" s="1425"/>
      <c r="T26" s="1425"/>
      <c r="U26" s="1425"/>
      <c r="V26" s="1425"/>
      <c r="W26" s="1425"/>
      <c r="X26" s="1425"/>
      <c r="Y26" s="1425"/>
      <c r="Z26" s="1425"/>
      <c r="AA26" s="1425"/>
      <c r="AB26" s="1425"/>
      <c r="AC26" s="1425"/>
      <c r="AD26" s="1425"/>
      <c r="AE26" s="1425"/>
      <c r="AF26" s="1425"/>
      <c r="AG26" s="1425"/>
      <c r="AH26" s="1425"/>
      <c r="AI26" s="1425"/>
      <c r="AJ26" s="1425"/>
      <c r="AK26" s="1425"/>
      <c r="AL26" s="1425"/>
      <c r="AM26" s="1425"/>
      <c r="AN26" s="1425"/>
      <c r="AO26" s="1425"/>
      <c r="AP26" s="1425"/>
      <c r="AS26" s="515"/>
    </row>
    <row r="27" spans="1:45" s="274" customFormat="1" ht="15.75">
      <c r="B27" s="274" t="s">
        <v>62</v>
      </c>
      <c r="E27" s="272"/>
      <c r="F27" s="272"/>
      <c r="G27" s="277"/>
      <c r="H27" s="272"/>
      <c r="K27" s="273"/>
      <c r="O27" s="305" t="s">
        <v>285</v>
      </c>
      <c r="P27" s="1425" t="str">
        <f>"Fiscal Year "&amp;F4&amp;" Proposed Budget"</f>
        <v>Fiscal Year 2017 Proposed Budget</v>
      </c>
      <c r="Q27" s="1425"/>
      <c r="R27" s="1425"/>
      <c r="S27" s="1425"/>
      <c r="T27" s="1425"/>
      <c r="U27" s="1425"/>
      <c r="V27" s="1425"/>
      <c r="W27" s="1425"/>
      <c r="X27" s="1425"/>
      <c r="Y27" s="1425"/>
      <c r="Z27" s="1425"/>
      <c r="AA27" s="1425"/>
      <c r="AB27" s="1425"/>
      <c r="AC27" s="1425"/>
      <c r="AD27" s="1425"/>
      <c r="AE27" s="1425"/>
      <c r="AF27" s="1425"/>
      <c r="AG27" s="1425"/>
      <c r="AH27" s="1425"/>
      <c r="AI27" s="1425"/>
      <c r="AJ27" s="1425"/>
      <c r="AK27" s="1425"/>
      <c r="AL27" s="1425"/>
      <c r="AM27" s="1425"/>
      <c r="AN27" s="1425"/>
      <c r="AO27" s="1425"/>
      <c r="AP27" s="1425"/>
      <c r="AS27" s="515"/>
    </row>
    <row r="28" spans="1:45" s="274" customFormat="1" ht="20.100000000000001" customHeight="1">
      <c r="E28" s="272"/>
      <c r="F28" s="272"/>
      <c r="G28" s="277"/>
      <c r="H28" s="272"/>
      <c r="K28" s="273"/>
      <c r="P28" s="516"/>
      <c r="Q28" s="516"/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16"/>
      <c r="AE28" s="516"/>
      <c r="AF28" s="516"/>
      <c r="AG28" s="516"/>
      <c r="AH28" s="516"/>
      <c r="AI28" s="516"/>
      <c r="AJ28" s="516"/>
      <c r="AK28" s="516"/>
      <c r="AL28" s="516"/>
      <c r="AM28" s="516"/>
      <c r="AN28" s="516"/>
      <c r="AO28" s="516"/>
      <c r="AP28" s="516"/>
      <c r="AS28" s="515"/>
    </row>
    <row r="29" spans="1:45" s="274" customFormat="1" ht="20.100000000000001" hidden="1" customHeight="1">
      <c r="B29" s="274" t="str">
        <f>IF(F15="yes","show","Hide")</f>
        <v>Hide</v>
      </c>
      <c r="E29" s="272"/>
      <c r="F29" s="272"/>
      <c r="G29" s="277"/>
      <c r="H29" s="272"/>
      <c r="K29" s="273"/>
      <c r="P29" s="1426" t="s">
        <v>286</v>
      </c>
      <c r="Q29" s="1426"/>
      <c r="R29" s="1426"/>
      <c r="S29" s="1426"/>
      <c r="T29" s="1426"/>
      <c r="U29" s="1426"/>
      <c r="V29" s="1426"/>
      <c r="W29" s="1426"/>
      <c r="X29" s="1426"/>
      <c r="Y29" s="1426"/>
      <c r="Z29" s="1426"/>
      <c r="AA29" s="1426"/>
      <c r="AB29" s="1426"/>
      <c r="AC29" s="1426"/>
      <c r="AD29" s="1426"/>
      <c r="AE29" s="1426"/>
      <c r="AF29" s="1426"/>
      <c r="AG29" s="1426"/>
      <c r="AH29" s="1426"/>
      <c r="AI29" s="1426"/>
      <c r="AJ29" s="1426"/>
      <c r="AK29" s="1426"/>
      <c r="AL29" s="1426"/>
      <c r="AM29" s="1426"/>
      <c r="AN29" s="1426"/>
      <c r="AO29" s="1426"/>
      <c r="AP29" s="1426"/>
      <c r="AS29" s="515"/>
    </row>
    <row r="30" spans="1:45" s="274" customFormat="1" ht="15" hidden="1" customHeight="1">
      <c r="B30" s="274" t="str">
        <f>B29</f>
        <v>Hide</v>
      </c>
      <c r="E30" s="272"/>
      <c r="F30" s="272"/>
      <c r="G30" s="272"/>
      <c r="H30" s="272"/>
      <c r="K30" s="273"/>
      <c r="T30" s="275"/>
      <c r="AS30" s="275"/>
    </row>
    <row r="31" spans="1:45" ht="15" customHeight="1">
      <c r="B31" s="274" t="s">
        <v>62</v>
      </c>
      <c r="O31" s="314"/>
      <c r="P31" s="314"/>
      <c r="Q31" s="314"/>
      <c r="AD31" s="356" t="str">
        <f>IF(AD148=0,"ADOPTED","AMENDED")</f>
        <v>ADOPTED</v>
      </c>
      <c r="AF31" s="356" t="str">
        <f>IF(AF148=0,"ADOPTED","AMENDED")</f>
        <v>ADOPTED</v>
      </c>
      <c r="AG31" s="356"/>
      <c r="AH31" s="517" t="s">
        <v>287</v>
      </c>
      <c r="AI31" s="518"/>
      <c r="AJ31" s="517" t="s">
        <v>288</v>
      </c>
      <c r="AK31" s="518"/>
      <c r="AL31" s="517" t="s">
        <v>289</v>
      </c>
      <c r="AM31" s="519"/>
      <c r="AN31" s="356" t="s">
        <v>290</v>
      </c>
      <c r="AO31" s="356"/>
      <c r="AP31" s="356" t="s">
        <v>291</v>
      </c>
      <c r="AQ31" s="356"/>
      <c r="AR31" s="320"/>
    </row>
    <row r="32" spans="1:45" ht="15" customHeight="1">
      <c r="B32" s="274" t="s">
        <v>62</v>
      </c>
      <c r="O32" s="320"/>
      <c r="P32" s="356" t="s">
        <v>292</v>
      </c>
      <c r="Q32" s="320"/>
      <c r="T32" s="356" t="s">
        <v>287</v>
      </c>
      <c r="V32" s="356" t="s">
        <v>287</v>
      </c>
      <c r="W32" s="356"/>
      <c r="X32" s="356" t="s">
        <v>287</v>
      </c>
      <c r="Y32" s="356"/>
      <c r="Z32" s="356" t="s">
        <v>287</v>
      </c>
      <c r="AA32" s="356"/>
      <c r="AB32" s="356" t="s">
        <v>287</v>
      </c>
      <c r="AC32" s="356"/>
      <c r="AD32" s="356" t="s">
        <v>293</v>
      </c>
      <c r="AF32" s="356" t="s">
        <v>293</v>
      </c>
      <c r="AG32" s="356"/>
      <c r="AH32" s="356" t="s">
        <v>294</v>
      </c>
      <c r="AI32" s="356"/>
      <c r="AJ32" s="520" t="str">
        <f>'001'!AJ32</f>
        <v>June thru</v>
      </c>
      <c r="AK32" s="356"/>
      <c r="AL32" s="356" t="s">
        <v>288</v>
      </c>
      <c r="AM32" s="272"/>
      <c r="AN32" s="356" t="s">
        <v>296</v>
      </c>
      <c r="AO32" s="356"/>
      <c r="AP32" s="356" t="s">
        <v>293</v>
      </c>
      <c r="AQ32" s="356"/>
      <c r="AR32" s="320"/>
    </row>
    <row r="33" spans="1:58" ht="15" customHeight="1">
      <c r="A33" s="274" t="s">
        <v>297</v>
      </c>
      <c r="B33" s="274" t="s">
        <v>62</v>
      </c>
      <c r="L33" s="323" t="s">
        <v>65</v>
      </c>
      <c r="M33" s="323" t="s">
        <v>298</v>
      </c>
      <c r="N33" s="324" t="s">
        <v>255</v>
      </c>
      <c r="O33" s="325" t="s">
        <v>253</v>
      </c>
      <c r="P33" s="517" t="s">
        <v>299</v>
      </c>
      <c r="Q33" s="320"/>
      <c r="R33" s="517" t="s">
        <v>300</v>
      </c>
      <c r="S33" s="521"/>
      <c r="T33" s="517" t="s">
        <v>301</v>
      </c>
      <c r="U33" s="521"/>
      <c r="V33" s="517" t="str">
        <f>"FY "&amp;RIGHT(V2,4)</f>
        <v>FY 2012</v>
      </c>
      <c r="W33" s="522"/>
      <c r="X33" s="517" t="str">
        <f>"FY "&amp;RIGHT(X2,4)</f>
        <v>FY 2013</v>
      </c>
      <c r="Y33" s="522"/>
      <c r="Z33" s="517" t="str">
        <f>"FY "&amp;RIGHT(Z2,4)</f>
        <v>FY 2014</v>
      </c>
      <c r="AA33" s="522"/>
      <c r="AB33" s="517" t="str">
        <f>'001'!AB33</f>
        <v>FY - 2015</v>
      </c>
      <c r="AC33" s="522"/>
      <c r="AD33" s="517" t="str">
        <f>'001'!AD33</f>
        <v>FY - 2015</v>
      </c>
      <c r="AE33" s="314"/>
      <c r="AF33" s="517" t="str">
        <f>'001'!AF33</f>
        <v>FY - 2016</v>
      </c>
      <c r="AG33" s="523"/>
      <c r="AH33" s="524" t="str">
        <f>'001'!AH33</f>
        <v>May – 2016</v>
      </c>
      <c r="AI33" s="523"/>
      <c r="AJ33" s="524" t="str">
        <f>'001'!AJ33</f>
        <v>EoFY – 2016</v>
      </c>
      <c r="AK33" s="523"/>
      <c r="AL33" s="517" t="str">
        <f>'001'!AL33</f>
        <v>FY-2016</v>
      </c>
      <c r="AM33" s="523"/>
      <c r="AN33" s="517" t="str">
        <f>'001'!AN33</f>
        <v>FY - 2017</v>
      </c>
      <c r="AO33" s="521"/>
      <c r="AP33" s="517" t="str">
        <f>'001'!AP33</f>
        <v>FY - 2017</v>
      </c>
      <c r="AQ33" s="521"/>
      <c r="AR33" s="525"/>
      <c r="AS33" s="517" t="s">
        <v>305</v>
      </c>
    </row>
    <row r="34" spans="1:58" ht="15" customHeight="1">
      <c r="B34" s="274" t="s">
        <v>62</v>
      </c>
      <c r="N34" s="332"/>
      <c r="O34" s="333"/>
      <c r="P34" s="521"/>
      <c r="Q34" s="320"/>
      <c r="R34" s="521"/>
      <c r="S34" s="521"/>
      <c r="T34" s="521"/>
      <c r="U34" s="521"/>
      <c r="V34" s="521"/>
      <c r="W34" s="522"/>
      <c r="X34" s="521"/>
      <c r="Y34" s="522"/>
      <c r="Z34" s="521"/>
      <c r="AA34" s="522"/>
      <c r="AB34" s="521"/>
      <c r="AC34" s="522"/>
      <c r="AD34" s="521"/>
      <c r="AE34" s="314"/>
      <c r="AF34" s="521"/>
      <c r="AG34" s="523"/>
      <c r="AH34" s="521"/>
      <c r="AI34" s="523"/>
      <c r="AJ34" s="521"/>
      <c r="AK34" s="523"/>
      <c r="AL34" s="521"/>
      <c r="AM34" s="523"/>
      <c r="AN34" s="521"/>
      <c r="AO34" s="521"/>
      <c r="AP34" s="521"/>
      <c r="AQ34" s="521"/>
      <c r="AR34" s="525"/>
      <c r="AS34" s="526"/>
    </row>
    <row r="35" spans="1:58" ht="20.100000000000001" hidden="1" customHeight="1">
      <c r="B35" s="274" t="s">
        <v>62</v>
      </c>
      <c r="N35" s="332"/>
      <c r="O35" s="335" t="s">
        <v>306</v>
      </c>
      <c r="P35" s="1427" t="s">
        <v>307</v>
      </c>
      <c r="Q35" s="1427"/>
      <c r="R35" s="1427"/>
      <c r="S35" s="1427"/>
      <c r="T35" s="1427"/>
      <c r="U35" s="1427"/>
      <c r="V35" s="1427"/>
      <c r="W35" s="1427"/>
      <c r="X35" s="1427"/>
      <c r="Y35" s="1427"/>
      <c r="Z35" s="1427"/>
      <c r="AA35" s="1427"/>
      <c r="AB35" s="1427"/>
      <c r="AC35" s="1427"/>
      <c r="AD35" s="1427"/>
      <c r="AE35" s="1427"/>
      <c r="AF35" s="1427"/>
      <c r="AG35" s="1427"/>
      <c r="AH35" s="1427"/>
      <c r="AI35" s="1427"/>
      <c r="AJ35" s="1427"/>
      <c r="AK35" s="1427"/>
      <c r="AL35" s="1427"/>
      <c r="AM35" s="1427"/>
      <c r="AN35" s="1427"/>
      <c r="AO35" s="1427"/>
      <c r="AP35" s="1427"/>
      <c r="AQ35" s="521"/>
      <c r="AR35" s="525"/>
      <c r="AS35" s="526"/>
    </row>
    <row r="36" spans="1:58" ht="15" customHeight="1">
      <c r="B36" s="274" t="s">
        <v>62</v>
      </c>
      <c r="O36" s="314"/>
      <c r="P36" s="314"/>
      <c r="Q36" s="320"/>
      <c r="R36" s="1428" t="str">
        <f>IF(R142=0,IF(AND($F$22&gt;"399",$F$22&lt;"500"),"OPERATING REVENUES","REVENUES"),"THIS REPORT HAS AN ERROR, THIS REPORT HAS AN ERROR, THIS REPORT HAS AN ERROR")</f>
        <v>REVENUES</v>
      </c>
      <c r="S36" s="1428"/>
      <c r="T36" s="1428"/>
      <c r="U36" s="1428"/>
      <c r="V36" s="1428"/>
      <c r="W36" s="1428"/>
      <c r="X36" s="1428"/>
      <c r="Y36" s="1428"/>
      <c r="Z36" s="1428"/>
      <c r="AA36" s="1428"/>
      <c r="AB36" s="1428"/>
      <c r="AC36" s="1428"/>
      <c r="AD36" s="1428"/>
      <c r="AE36" s="1428"/>
      <c r="AF36" s="1428"/>
      <c r="AG36" s="1428"/>
      <c r="AH36" s="1428"/>
      <c r="AI36" s="1428"/>
      <c r="AJ36" s="1428"/>
      <c r="AK36" s="1428"/>
      <c r="AL36" s="1428"/>
      <c r="AM36" s="1428"/>
      <c r="AN36" s="1428"/>
      <c r="AO36" s="1428"/>
      <c r="AP36" s="1428"/>
      <c r="AQ36" s="521"/>
      <c r="AR36" s="525"/>
      <c r="AS36" s="526"/>
    </row>
    <row r="37" spans="1:58" ht="0.95" customHeight="1">
      <c r="B37" s="274" t="s">
        <v>62</v>
      </c>
      <c r="O37" s="314"/>
      <c r="P37" s="314"/>
      <c r="Q37" s="320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521"/>
      <c r="AG37" s="523"/>
      <c r="AH37" s="521"/>
      <c r="AI37" s="523"/>
      <c r="AJ37" s="521"/>
      <c r="AK37" s="523"/>
      <c r="AL37" s="521"/>
      <c r="AM37" s="523"/>
      <c r="AN37" s="521"/>
      <c r="AO37" s="521"/>
      <c r="AP37" s="521"/>
      <c r="AQ37" s="521"/>
      <c r="AR37" s="525"/>
      <c r="AS37" s="526"/>
    </row>
    <row r="38" spans="1:58" ht="15.6" customHeight="1">
      <c r="A38" s="271" t="s">
        <v>236</v>
      </c>
      <c r="B38" s="271" t="s">
        <v>62</v>
      </c>
      <c r="E38" s="336" t="str">
        <f>IF(OR($D$7=0,$F$16="YES"),0,"300001..361000|361002..369999")</f>
        <v>300001..361000|361002..369999</v>
      </c>
      <c r="F38" s="300"/>
      <c r="K38" s="337">
        <v>361001</v>
      </c>
      <c r="L38" s="275" t="str">
        <f t="shared" ref="L38:L44" si="2">$F$22</f>
        <v>201</v>
      </c>
      <c r="M38" s="275" t="str">
        <f t="shared" ref="M38:M44" si="3">$J$7</f>
        <v>10/1/2016..9/30/2017</v>
      </c>
      <c r="N38" s="274" t="str">
        <f t="shared" ref="N38:N44" si="4">$D$6</f>
        <v>HARMONY CDD</v>
      </c>
      <c r="O38" s="275">
        <f>K38</f>
        <v>361001</v>
      </c>
      <c r="P38" s="275">
        <f t="shared" ref="P38:P44" si="5">K38</f>
        <v>361001</v>
      </c>
      <c r="Q38" s="320"/>
      <c r="R38" s="528" t="s">
        <v>308</v>
      </c>
      <c r="S38" s="314"/>
      <c r="T38" s="529">
        <v>0</v>
      </c>
      <c r="U38" s="314"/>
      <c r="V38" s="529">
        <v>0</v>
      </c>
      <c r="W38" s="528"/>
      <c r="X38" s="529">
        <v>0</v>
      </c>
      <c r="Y38" s="528"/>
      <c r="Z38" s="529">
        <v>0</v>
      </c>
      <c r="AA38" s="528"/>
      <c r="AB38" s="529">
        <v>0</v>
      </c>
      <c r="AC38" s="528"/>
      <c r="AD38" s="529">
        <v>0</v>
      </c>
      <c r="AE38" s="272"/>
      <c r="AF38" s="529">
        <v>0</v>
      </c>
      <c r="AG38" s="272"/>
      <c r="AH38" s="529">
        <v>0</v>
      </c>
      <c r="AI38" s="272"/>
      <c r="AJ38" s="530">
        <f t="shared" ref="AJ38:AJ44" si="6">+AF38-AH38</f>
        <v>0</v>
      </c>
      <c r="AK38" s="272"/>
      <c r="AL38" s="529">
        <f t="shared" ref="AL38:AL44" si="7">IF(ISERROR(AH38+AJ38),0,(AH38+AJ38))</f>
        <v>0</v>
      </c>
      <c r="AM38" s="529"/>
      <c r="AN38" s="531">
        <v>0</v>
      </c>
      <c r="AO38" s="532"/>
      <c r="AP38" s="533">
        <f t="shared" ref="AP38:AP44" si="8">IF($F$13="YES",AF38,AN38)</f>
        <v>0</v>
      </c>
      <c r="AQ38" s="534">
        <f t="shared" ref="AQ38:AQ44" si="9">ABS(SUMIF(V38:AP38,"&gt;0")-SUMIF(V38:AP38,"&lt;0"))</f>
        <v>0</v>
      </c>
      <c r="AR38" s="525"/>
      <c r="AS38" s="535"/>
      <c r="AV38" s="346"/>
    </row>
    <row r="39" spans="1:58" ht="15.6" hidden="1" customHeight="1">
      <c r="A39" s="271" t="s">
        <v>236</v>
      </c>
      <c r="B39" s="271" t="str">
        <f t="shared" ref="B39:B44" si="10">IF(AQ39=0,"Hide","Show")</f>
        <v>Hide</v>
      </c>
      <c r="E39" s="347"/>
      <c r="K39" s="337" t="s">
        <v>483</v>
      </c>
      <c r="L39" s="275" t="str">
        <f t="shared" si="2"/>
        <v>201</v>
      </c>
      <c r="M39" s="275" t="str">
        <f t="shared" si="3"/>
        <v>10/1/2016..9/30/2017</v>
      </c>
      <c r="N39" s="274" t="str">
        <f t="shared" si="4"/>
        <v>HARMONY CDD</v>
      </c>
      <c r="O39" s="275" t="str">
        <f t="shared" ref="O39:O44" si="11">IF(K39="","8888888",K39)</f>
        <v>363010</v>
      </c>
      <c r="P39" s="275" t="str">
        <f t="shared" si="5"/>
        <v>363010</v>
      </c>
      <c r="Q39" s="356"/>
      <c r="R39" s="528" t="s">
        <v>314</v>
      </c>
      <c r="S39" s="528"/>
      <c r="T39" s="536">
        <v>0</v>
      </c>
      <c r="U39" s="528"/>
      <c r="V39" s="536">
        <v>0</v>
      </c>
      <c r="W39" s="537"/>
      <c r="X39" s="536">
        <v>0</v>
      </c>
      <c r="Y39" s="537"/>
      <c r="Z39" s="536">
        <v>0</v>
      </c>
      <c r="AA39" s="537"/>
      <c r="AB39" s="536">
        <v>0</v>
      </c>
      <c r="AC39" s="537"/>
      <c r="AD39" s="536">
        <v>0</v>
      </c>
      <c r="AE39" s="538"/>
      <c r="AF39" s="536">
        <v>0</v>
      </c>
      <c r="AG39" s="538"/>
      <c r="AH39" s="536">
        <v>0</v>
      </c>
      <c r="AI39" s="538"/>
      <c r="AJ39" s="539">
        <f t="shared" si="6"/>
        <v>0</v>
      </c>
      <c r="AK39" s="538"/>
      <c r="AL39" s="536">
        <f t="shared" si="7"/>
        <v>0</v>
      </c>
      <c r="AM39" s="536"/>
      <c r="AN39" s="540">
        <v>0</v>
      </c>
      <c r="AO39" s="536"/>
      <c r="AP39" s="539">
        <f t="shared" si="8"/>
        <v>0</v>
      </c>
      <c r="AQ39" s="534">
        <f t="shared" si="9"/>
        <v>0</v>
      </c>
      <c r="AS39" s="535"/>
      <c r="AV39" s="346"/>
    </row>
    <row r="40" spans="1:58" ht="15.6" hidden="1" customHeight="1">
      <c r="A40" s="271" t="s">
        <v>311</v>
      </c>
      <c r="B40" s="271" t="str">
        <f t="shared" si="10"/>
        <v>Hide</v>
      </c>
      <c r="E40" s="347"/>
      <c r="K40" s="337" t="str">
        <f>"363015"</f>
        <v>363015</v>
      </c>
      <c r="L40" s="275" t="str">
        <f t="shared" si="2"/>
        <v>201</v>
      </c>
      <c r="M40" s="275" t="str">
        <f t="shared" si="3"/>
        <v>10/1/2016..9/30/2017</v>
      </c>
      <c r="N40" s="274" t="str">
        <f t="shared" si="4"/>
        <v>HARMONY CDD</v>
      </c>
      <c r="O40" s="275" t="str">
        <f t="shared" si="11"/>
        <v>363015</v>
      </c>
      <c r="P40" s="275" t="str">
        <f t="shared" si="5"/>
        <v>363015</v>
      </c>
      <c r="Q40" s="356"/>
      <c r="R40" s="528" t="s">
        <v>484</v>
      </c>
      <c r="S40" s="528"/>
      <c r="T40" s="536">
        <v>0</v>
      </c>
      <c r="U40" s="528"/>
      <c r="V40" s="536">
        <v>0</v>
      </c>
      <c r="W40" s="537"/>
      <c r="X40" s="536">
        <v>0</v>
      </c>
      <c r="Y40" s="537"/>
      <c r="Z40" s="536">
        <v>0</v>
      </c>
      <c r="AA40" s="537"/>
      <c r="AB40" s="536">
        <v>0</v>
      </c>
      <c r="AC40" s="537"/>
      <c r="AD40" s="536">
        <v>0</v>
      </c>
      <c r="AE40" s="538"/>
      <c r="AF40" s="536">
        <v>0</v>
      </c>
      <c r="AG40" s="538"/>
      <c r="AH40" s="536">
        <v>0</v>
      </c>
      <c r="AI40" s="538"/>
      <c r="AJ40" s="539">
        <f t="shared" si="6"/>
        <v>0</v>
      </c>
      <c r="AK40" s="538"/>
      <c r="AL40" s="536">
        <f t="shared" si="7"/>
        <v>0</v>
      </c>
      <c r="AM40" s="536"/>
      <c r="AN40" s="540">
        <v>0</v>
      </c>
      <c r="AO40" s="536"/>
      <c r="AP40" s="539">
        <f t="shared" si="8"/>
        <v>0</v>
      </c>
      <c r="AQ40" s="534">
        <f t="shared" si="9"/>
        <v>0</v>
      </c>
      <c r="AS40" s="535"/>
      <c r="AV40" s="346"/>
    </row>
    <row r="41" spans="1:58" ht="15.6" hidden="1" customHeight="1">
      <c r="A41" s="271" t="s">
        <v>311</v>
      </c>
      <c r="B41" s="271" t="str">
        <f t="shared" si="10"/>
        <v>Hide</v>
      </c>
      <c r="E41" s="347"/>
      <c r="K41" s="337" t="str">
        <f>"363030"</f>
        <v>363030</v>
      </c>
      <c r="L41" s="275" t="str">
        <f t="shared" si="2"/>
        <v>201</v>
      </c>
      <c r="M41" s="275" t="str">
        <f t="shared" si="3"/>
        <v>10/1/2016..9/30/2017</v>
      </c>
      <c r="N41" s="274" t="str">
        <f t="shared" si="4"/>
        <v>HARMONY CDD</v>
      </c>
      <c r="O41" s="275" t="str">
        <f t="shared" si="11"/>
        <v>363030</v>
      </c>
      <c r="P41" s="275" t="str">
        <f t="shared" si="5"/>
        <v>363030</v>
      </c>
      <c r="Q41" s="356"/>
      <c r="R41" s="528" t="s">
        <v>315</v>
      </c>
      <c r="S41" s="528"/>
      <c r="T41" s="536">
        <v>0</v>
      </c>
      <c r="U41" s="528"/>
      <c r="V41" s="536">
        <v>0</v>
      </c>
      <c r="W41" s="537"/>
      <c r="X41" s="536">
        <v>0</v>
      </c>
      <c r="Y41" s="537"/>
      <c r="Z41" s="536">
        <v>0</v>
      </c>
      <c r="AA41" s="537"/>
      <c r="AB41" s="536">
        <v>0</v>
      </c>
      <c r="AC41" s="537"/>
      <c r="AD41" s="536">
        <v>0</v>
      </c>
      <c r="AE41" s="538"/>
      <c r="AF41" s="536">
        <v>0</v>
      </c>
      <c r="AG41" s="538"/>
      <c r="AH41" s="536">
        <v>0</v>
      </c>
      <c r="AI41" s="538"/>
      <c r="AJ41" s="539">
        <f t="shared" si="6"/>
        <v>0</v>
      </c>
      <c r="AK41" s="538"/>
      <c r="AL41" s="536">
        <f t="shared" si="7"/>
        <v>0</v>
      </c>
      <c r="AM41" s="536"/>
      <c r="AN41" s="540">
        <v>0</v>
      </c>
      <c r="AO41" s="536"/>
      <c r="AP41" s="539">
        <f t="shared" si="8"/>
        <v>0</v>
      </c>
      <c r="AQ41" s="534">
        <f t="shared" si="9"/>
        <v>0</v>
      </c>
      <c r="AS41" s="535"/>
      <c r="AV41" s="346"/>
    </row>
    <row r="42" spans="1:58" ht="15.6" hidden="1" customHeight="1">
      <c r="A42" s="271" t="s">
        <v>311</v>
      </c>
      <c r="B42" s="271" t="str">
        <f t="shared" si="10"/>
        <v>Hide</v>
      </c>
      <c r="E42" s="347"/>
      <c r="K42" s="337" t="str">
        <f>"363040"</f>
        <v>363040</v>
      </c>
      <c r="L42" s="275" t="str">
        <f t="shared" si="2"/>
        <v>201</v>
      </c>
      <c r="M42" s="275" t="str">
        <f t="shared" si="3"/>
        <v>10/1/2016..9/30/2017</v>
      </c>
      <c r="N42" s="274" t="str">
        <f t="shared" si="4"/>
        <v>HARMONY CDD</v>
      </c>
      <c r="O42" s="275" t="str">
        <f t="shared" si="11"/>
        <v>363040</v>
      </c>
      <c r="P42" s="275" t="str">
        <f t="shared" si="5"/>
        <v>363040</v>
      </c>
      <c r="Q42" s="356"/>
      <c r="R42" s="528" t="s">
        <v>316</v>
      </c>
      <c r="S42" s="528"/>
      <c r="T42" s="536">
        <v>0</v>
      </c>
      <c r="U42" s="528"/>
      <c r="V42" s="536">
        <v>0</v>
      </c>
      <c r="W42" s="537"/>
      <c r="X42" s="536">
        <v>0</v>
      </c>
      <c r="Y42" s="537"/>
      <c r="Z42" s="536">
        <v>0</v>
      </c>
      <c r="AA42" s="537"/>
      <c r="AB42" s="536">
        <v>0</v>
      </c>
      <c r="AC42" s="537"/>
      <c r="AD42" s="536">
        <v>0</v>
      </c>
      <c r="AE42" s="538"/>
      <c r="AF42" s="536">
        <v>0</v>
      </c>
      <c r="AG42" s="538"/>
      <c r="AH42" s="536">
        <v>0</v>
      </c>
      <c r="AI42" s="538"/>
      <c r="AJ42" s="539">
        <f t="shared" si="6"/>
        <v>0</v>
      </c>
      <c r="AK42" s="538"/>
      <c r="AL42" s="536">
        <f t="shared" si="7"/>
        <v>0</v>
      </c>
      <c r="AM42" s="536"/>
      <c r="AN42" s="540">
        <v>0</v>
      </c>
      <c r="AO42" s="536"/>
      <c r="AP42" s="539">
        <f t="shared" si="8"/>
        <v>0</v>
      </c>
      <c r="AQ42" s="534">
        <f t="shared" si="9"/>
        <v>0</v>
      </c>
      <c r="AS42" s="535"/>
      <c r="AV42" s="346"/>
    </row>
    <row r="43" spans="1:58" ht="15.6" hidden="1" customHeight="1">
      <c r="A43" s="271" t="s">
        <v>311</v>
      </c>
      <c r="B43" s="271" t="str">
        <f t="shared" si="10"/>
        <v>Hide</v>
      </c>
      <c r="E43" s="347"/>
      <c r="K43" s="337" t="str">
        <f>"363050"</f>
        <v>363050</v>
      </c>
      <c r="L43" s="275" t="str">
        <f t="shared" si="2"/>
        <v>201</v>
      </c>
      <c r="M43" s="275" t="str">
        <f t="shared" si="3"/>
        <v>10/1/2016..9/30/2017</v>
      </c>
      <c r="N43" s="274" t="str">
        <f t="shared" si="4"/>
        <v>HARMONY CDD</v>
      </c>
      <c r="O43" s="275" t="str">
        <f t="shared" si="11"/>
        <v>363050</v>
      </c>
      <c r="P43" s="275" t="str">
        <f t="shared" si="5"/>
        <v>363050</v>
      </c>
      <c r="Q43" s="356"/>
      <c r="R43" s="528" t="s">
        <v>317</v>
      </c>
      <c r="S43" s="528"/>
      <c r="T43" s="536">
        <v>0</v>
      </c>
      <c r="U43" s="528"/>
      <c r="V43" s="536">
        <v>0</v>
      </c>
      <c r="W43" s="537"/>
      <c r="X43" s="536">
        <v>0</v>
      </c>
      <c r="Y43" s="537"/>
      <c r="Z43" s="536">
        <v>0</v>
      </c>
      <c r="AA43" s="537"/>
      <c r="AB43" s="536">
        <v>0</v>
      </c>
      <c r="AC43" s="537"/>
      <c r="AD43" s="536">
        <v>0</v>
      </c>
      <c r="AE43" s="538"/>
      <c r="AF43" s="536">
        <v>0</v>
      </c>
      <c r="AG43" s="538"/>
      <c r="AH43" s="536">
        <v>0</v>
      </c>
      <c r="AI43" s="538"/>
      <c r="AJ43" s="539">
        <f t="shared" si="6"/>
        <v>0</v>
      </c>
      <c r="AK43" s="538"/>
      <c r="AL43" s="536">
        <f t="shared" si="7"/>
        <v>0</v>
      </c>
      <c r="AM43" s="536"/>
      <c r="AN43" s="540">
        <v>0</v>
      </c>
      <c r="AO43" s="536"/>
      <c r="AP43" s="539">
        <f t="shared" si="8"/>
        <v>0</v>
      </c>
      <c r="AQ43" s="534">
        <f t="shared" si="9"/>
        <v>0</v>
      </c>
      <c r="AS43" s="535"/>
      <c r="AV43" s="346"/>
    </row>
    <row r="44" spans="1:58" ht="15.6" hidden="1" customHeight="1">
      <c r="A44" s="271" t="s">
        <v>311</v>
      </c>
      <c r="B44" s="271" t="str">
        <f t="shared" si="10"/>
        <v>Hide</v>
      </c>
      <c r="E44" s="347"/>
      <c r="K44" s="337" t="str">
        <f>"363090"</f>
        <v>363090</v>
      </c>
      <c r="L44" s="275" t="str">
        <f t="shared" si="2"/>
        <v>201</v>
      </c>
      <c r="M44" s="275" t="str">
        <f t="shared" si="3"/>
        <v>10/1/2016..9/30/2017</v>
      </c>
      <c r="N44" s="274" t="str">
        <f t="shared" si="4"/>
        <v>HARMONY CDD</v>
      </c>
      <c r="O44" s="275" t="str">
        <f t="shared" si="11"/>
        <v>363090</v>
      </c>
      <c r="P44" s="275" t="str">
        <f t="shared" si="5"/>
        <v>363090</v>
      </c>
      <c r="Q44" s="356"/>
      <c r="R44" s="528" t="s">
        <v>318</v>
      </c>
      <c r="S44" s="528"/>
      <c r="T44" s="536">
        <v>0</v>
      </c>
      <c r="U44" s="528"/>
      <c r="V44" s="536">
        <v>0</v>
      </c>
      <c r="W44" s="537"/>
      <c r="X44" s="536">
        <v>0</v>
      </c>
      <c r="Y44" s="537"/>
      <c r="Z44" s="536">
        <v>0</v>
      </c>
      <c r="AA44" s="537"/>
      <c r="AB44" s="536">
        <v>0</v>
      </c>
      <c r="AC44" s="537"/>
      <c r="AD44" s="536">
        <v>0</v>
      </c>
      <c r="AE44" s="538"/>
      <c r="AF44" s="536">
        <v>0</v>
      </c>
      <c r="AG44" s="538"/>
      <c r="AH44" s="536">
        <v>0</v>
      </c>
      <c r="AI44" s="538"/>
      <c r="AJ44" s="539">
        <f t="shared" si="6"/>
        <v>0</v>
      </c>
      <c r="AK44" s="538"/>
      <c r="AL44" s="536">
        <f t="shared" si="7"/>
        <v>0</v>
      </c>
      <c r="AM44" s="536"/>
      <c r="AN44" s="540">
        <v>0</v>
      </c>
      <c r="AO44" s="536"/>
      <c r="AP44" s="539">
        <f t="shared" si="8"/>
        <v>0</v>
      </c>
      <c r="AQ44" s="534">
        <f t="shared" si="9"/>
        <v>0</v>
      </c>
      <c r="AS44" s="535"/>
      <c r="AV44" s="346"/>
    </row>
    <row r="45" spans="1:58" ht="3.95" customHeight="1">
      <c r="B45" s="274" t="s">
        <v>62</v>
      </c>
      <c r="E45" s="347"/>
      <c r="K45" s="278"/>
      <c r="L45" s="275"/>
      <c r="M45" s="275"/>
      <c r="N45" s="274"/>
      <c r="O45" s="275"/>
      <c r="P45" s="275"/>
      <c r="Q45" s="356"/>
      <c r="R45" s="528"/>
      <c r="S45" s="528"/>
      <c r="T45" s="529"/>
      <c r="U45" s="528"/>
      <c r="V45" s="529"/>
      <c r="W45" s="528"/>
      <c r="X45" s="529"/>
      <c r="Y45" s="528"/>
      <c r="Z45" s="529"/>
      <c r="AA45" s="528"/>
      <c r="AB45" s="529"/>
      <c r="AC45" s="528"/>
      <c r="AD45" s="529"/>
      <c r="AE45" s="272"/>
      <c r="AF45" s="529"/>
      <c r="AG45" s="272"/>
      <c r="AH45" s="529"/>
      <c r="AI45" s="272"/>
      <c r="AJ45" s="529"/>
      <c r="AK45" s="272"/>
      <c r="AL45" s="529"/>
      <c r="AM45" s="529"/>
      <c r="AN45" s="532"/>
      <c r="AO45" s="532"/>
      <c r="AP45" s="532"/>
      <c r="AQ45" s="532"/>
      <c r="AS45" s="541"/>
    </row>
    <row r="46" spans="1:58" ht="15" hidden="1" customHeight="1">
      <c r="B46" s="274" t="s">
        <v>31</v>
      </c>
      <c r="E46" s="336">
        <f>IF(OR($D$7=0,$F$16="NO"),0,"300001..361000|361002..369999")</f>
        <v>0</v>
      </c>
      <c r="F46" s="300"/>
      <c r="K46" s="278"/>
      <c r="L46" s="275"/>
      <c r="M46" s="275"/>
      <c r="N46" s="274"/>
      <c r="O46" s="275"/>
      <c r="P46" s="275"/>
      <c r="Q46" s="356"/>
      <c r="R46" s="528"/>
      <c r="S46" s="528"/>
      <c r="T46" s="529"/>
      <c r="U46" s="528"/>
      <c r="V46" s="529"/>
      <c r="W46" s="528"/>
      <c r="X46" s="529"/>
      <c r="Y46" s="528"/>
      <c r="Z46" s="529"/>
      <c r="AA46" s="528"/>
      <c r="AB46" s="529"/>
      <c r="AC46" s="528"/>
      <c r="AD46" s="529"/>
      <c r="AE46" s="272"/>
      <c r="AF46" s="529"/>
      <c r="AG46" s="272"/>
      <c r="AH46" s="529"/>
      <c r="AI46" s="272"/>
      <c r="AJ46" s="529"/>
      <c r="AK46" s="272"/>
      <c r="AL46" s="529"/>
      <c r="AM46" s="529"/>
      <c r="AN46" s="532"/>
      <c r="AO46" s="532"/>
      <c r="AP46" s="532"/>
      <c r="AQ46" s="532"/>
      <c r="AS46" s="541"/>
    </row>
    <row r="47" spans="1:58" ht="15" hidden="1" customHeight="1">
      <c r="B47" s="274" t="s">
        <v>31</v>
      </c>
      <c r="I47" s="360"/>
      <c r="K47" s="278"/>
      <c r="L47" s="275"/>
      <c r="M47" s="275"/>
      <c r="N47" s="274"/>
      <c r="O47" s="275"/>
      <c r="P47" s="275"/>
      <c r="Q47" s="356"/>
      <c r="R47" s="528"/>
      <c r="S47" s="528"/>
      <c r="T47" s="529"/>
      <c r="U47" s="528"/>
      <c r="V47" s="529"/>
      <c r="W47" s="528"/>
      <c r="X47" s="529"/>
      <c r="Y47" s="528"/>
      <c r="Z47" s="529"/>
      <c r="AA47" s="528"/>
      <c r="AB47" s="529"/>
      <c r="AC47" s="528"/>
      <c r="AD47" s="529"/>
      <c r="AE47" s="272"/>
      <c r="AF47" s="529"/>
      <c r="AG47" s="272"/>
      <c r="AH47" s="529"/>
      <c r="AI47" s="272"/>
      <c r="AJ47" s="529"/>
      <c r="AK47" s="272"/>
      <c r="AL47" s="529"/>
      <c r="AM47" s="529"/>
      <c r="AN47" s="532"/>
      <c r="AO47" s="532"/>
      <c r="AP47" s="532"/>
      <c r="AQ47" s="532"/>
      <c r="AS47" s="541"/>
    </row>
    <row r="48" spans="1:58" ht="15" hidden="1" customHeight="1">
      <c r="B48" s="274" t="str">
        <f>B51</f>
        <v>Hide</v>
      </c>
      <c r="I48" s="360" t="str">
        <f>IF(I47="","9999999",I47)</f>
        <v>9999999</v>
      </c>
      <c r="K48" s="278"/>
      <c r="L48" s="275"/>
      <c r="M48" s="275"/>
      <c r="N48" s="274"/>
      <c r="O48" s="275"/>
      <c r="P48" s="275"/>
      <c r="Q48" s="356"/>
      <c r="R48" s="542"/>
      <c r="S48" s="528"/>
      <c r="T48" s="529"/>
      <c r="U48" s="528"/>
      <c r="V48" s="529"/>
      <c r="W48" s="528"/>
      <c r="X48" s="529"/>
      <c r="Y48" s="528"/>
      <c r="Z48" s="529"/>
      <c r="AA48" s="528"/>
      <c r="AB48" s="529"/>
      <c r="AC48" s="528"/>
      <c r="AD48" s="529"/>
      <c r="AE48" s="272"/>
      <c r="AF48" s="529"/>
      <c r="AG48" s="272"/>
      <c r="AH48" s="529"/>
      <c r="AI48" s="272"/>
      <c r="AJ48" s="529"/>
      <c r="AK48" s="272"/>
      <c r="AL48" s="529"/>
      <c r="AM48" s="529"/>
      <c r="AN48" s="532"/>
      <c r="AO48" s="532"/>
      <c r="AP48" s="532"/>
      <c r="AQ48" s="532"/>
      <c r="AS48" s="541"/>
      <c r="AU48" s="362" t="s">
        <v>301</v>
      </c>
      <c r="AV48" s="362" t="str">
        <f>$V$33</f>
        <v>FY 2012</v>
      </c>
      <c r="AW48" s="362" t="str">
        <f>$X$33</f>
        <v>FY 2013</v>
      </c>
      <c r="AX48" s="362" t="str">
        <f>$Z$33</f>
        <v>FY 2014</v>
      </c>
      <c r="AY48" s="362" t="str">
        <f>$AB$33</f>
        <v>FY - 2015</v>
      </c>
      <c r="AZ48" s="362" t="s">
        <v>327</v>
      </c>
      <c r="BA48" s="362" t="s">
        <v>328</v>
      </c>
      <c r="BB48" s="362" t="s">
        <v>329</v>
      </c>
      <c r="BC48" s="362" t="s">
        <v>330</v>
      </c>
      <c r="BD48" s="362" t="s">
        <v>289</v>
      </c>
      <c r="BE48" s="362" t="s">
        <v>331</v>
      </c>
      <c r="BF48" s="362" t="s">
        <v>332</v>
      </c>
    </row>
    <row r="49" spans="1:58" ht="15" hidden="1" customHeight="1">
      <c r="A49" s="271" t="s">
        <v>236</v>
      </c>
      <c r="B49" s="271" t="str">
        <f>IF(AQ49=0,"Hide","Show")</f>
        <v>Hide</v>
      </c>
      <c r="E49" s="347"/>
      <c r="I49" s="360" t="str">
        <f t="shared" ref="I49:I52" si="12">I48</f>
        <v>9999999</v>
      </c>
      <c r="K49" s="337"/>
      <c r="L49" s="275" t="str">
        <f>$F$22</f>
        <v>201</v>
      </c>
      <c r="M49" s="275" t="str">
        <f>$J$7</f>
        <v>10/1/2016..9/30/2017</v>
      </c>
      <c r="N49" s="274" t="str">
        <f>$D$6</f>
        <v>HARMONY CDD</v>
      </c>
      <c r="O49" s="275" t="str">
        <f>K49&amp;" "&amp;I49</f>
        <v xml:space="preserve"> 9999999</v>
      </c>
      <c r="P49" s="275">
        <f>K49</f>
        <v>0</v>
      </c>
      <c r="Q49" s="356"/>
      <c r="R49" s="528"/>
      <c r="S49" s="528"/>
      <c r="T49" s="536">
        <v>0</v>
      </c>
      <c r="U49" s="528"/>
      <c r="V49" s="536">
        <v>0</v>
      </c>
      <c r="W49" s="537"/>
      <c r="X49" s="536">
        <v>0</v>
      </c>
      <c r="Y49" s="537"/>
      <c r="Z49" s="536">
        <v>0</v>
      </c>
      <c r="AA49" s="537"/>
      <c r="AB49" s="536">
        <v>0</v>
      </c>
      <c r="AC49" s="537"/>
      <c r="AD49" s="536">
        <v>0</v>
      </c>
      <c r="AE49" s="538"/>
      <c r="AF49" s="536">
        <v>0</v>
      </c>
      <c r="AG49" s="538"/>
      <c r="AH49" s="536">
        <v>0</v>
      </c>
      <c r="AI49" s="538"/>
      <c r="AJ49" s="539">
        <f>+AF49-AH49</f>
        <v>0</v>
      </c>
      <c r="AK49" s="538"/>
      <c r="AL49" s="536">
        <f>IF(ISERROR(AH49+AJ49),0,(AH49+AJ49))</f>
        <v>0</v>
      </c>
      <c r="AM49" s="536"/>
      <c r="AN49" s="540">
        <v>0</v>
      </c>
      <c r="AO49" s="536"/>
      <c r="AP49" s="539">
        <f>IF($F$13="YES",AF49,AN49)</f>
        <v>0</v>
      </c>
      <c r="AQ49" s="534">
        <f>ABS(SUMIF(V49:AP49,"&gt;0")-SUMIF(V49:AP49,"&lt;0"))</f>
        <v>0</v>
      </c>
      <c r="AS49" s="535"/>
    </row>
    <row r="50" spans="1:58" ht="3.95" hidden="1" customHeight="1">
      <c r="B50" s="274" t="str">
        <f>B51</f>
        <v>Hide</v>
      </c>
      <c r="E50" s="347"/>
      <c r="I50" s="360" t="str">
        <f t="shared" si="12"/>
        <v>9999999</v>
      </c>
      <c r="K50" s="278"/>
      <c r="L50" s="275"/>
      <c r="M50" s="275"/>
      <c r="N50" s="274"/>
      <c r="O50" s="275"/>
      <c r="P50" s="275"/>
      <c r="Q50" s="356"/>
      <c r="R50" s="543"/>
      <c r="S50" s="528"/>
      <c r="T50" s="529"/>
      <c r="U50" s="528"/>
      <c r="V50" s="529"/>
      <c r="W50" s="528"/>
      <c r="X50" s="529"/>
      <c r="Y50" s="528"/>
      <c r="Z50" s="529"/>
      <c r="AA50" s="528"/>
      <c r="AB50" s="529"/>
      <c r="AC50" s="528"/>
      <c r="AD50" s="529"/>
      <c r="AE50" s="272"/>
      <c r="AF50" s="529"/>
      <c r="AG50" s="272"/>
      <c r="AH50" s="529"/>
      <c r="AI50" s="272"/>
      <c r="AJ50" s="529"/>
      <c r="AK50" s="272"/>
      <c r="AL50" s="529"/>
      <c r="AM50" s="529"/>
      <c r="AN50" s="532"/>
      <c r="AO50" s="532"/>
      <c r="AP50" s="532"/>
      <c r="AQ50" s="532"/>
      <c r="AS50" s="541"/>
    </row>
    <row r="51" spans="1:58" ht="15" hidden="1" customHeight="1">
      <c r="B51" s="271" t="str">
        <f>IF(AQ51=0,"Hide","Show")</f>
        <v>Hide</v>
      </c>
      <c r="E51" s="347"/>
      <c r="I51" s="360" t="str">
        <f t="shared" si="12"/>
        <v>9999999</v>
      </c>
      <c r="K51" s="278"/>
      <c r="L51" s="275"/>
      <c r="M51" s="275"/>
      <c r="N51" s="274"/>
      <c r="O51" s="275"/>
      <c r="P51" s="275"/>
      <c r="Q51" s="356"/>
      <c r="R51" s="543" t="s">
        <v>150</v>
      </c>
      <c r="S51" s="528"/>
      <c r="T51" s="544">
        <f>SUM(T48:T50)</f>
        <v>0</v>
      </c>
      <c r="U51" s="528"/>
      <c r="V51" s="544">
        <f>SUM(V48:V50)</f>
        <v>0</v>
      </c>
      <c r="W51" s="528"/>
      <c r="X51" s="544">
        <f>SUM(X48:X50)</f>
        <v>0</v>
      </c>
      <c r="Y51" s="528"/>
      <c r="Z51" s="544">
        <f>SUM(Z48:Z50)</f>
        <v>0</v>
      </c>
      <c r="AA51" s="528"/>
      <c r="AB51" s="544">
        <f>SUM(AB48:AB50)</f>
        <v>0</v>
      </c>
      <c r="AC51" s="528"/>
      <c r="AD51" s="544">
        <f>SUM(AD48:AD50)</f>
        <v>0</v>
      </c>
      <c r="AE51" s="272"/>
      <c r="AF51" s="544">
        <f>SUM(AF48:AF50)</f>
        <v>0</v>
      </c>
      <c r="AG51" s="272"/>
      <c r="AH51" s="544">
        <f>SUM(AH48:AH50)</f>
        <v>0</v>
      </c>
      <c r="AI51" s="272"/>
      <c r="AJ51" s="544">
        <f>SUM(AJ48:AJ50)</f>
        <v>0</v>
      </c>
      <c r="AK51" s="272"/>
      <c r="AL51" s="544">
        <f>SUM(AL48:AL50)</f>
        <v>0</v>
      </c>
      <c r="AM51" s="529"/>
      <c r="AN51" s="544">
        <f>SUM(AN48:AN50)</f>
        <v>0</v>
      </c>
      <c r="AO51" s="532"/>
      <c r="AP51" s="544">
        <f>SUM(AP48:AP50)</f>
        <v>0</v>
      </c>
      <c r="AQ51" s="534">
        <f>ABS(SUMIF(V51:AP51,"&gt;0")-SUMIF(V51:AP51,"&lt;0"))</f>
        <v>0</v>
      </c>
      <c r="AS51" s="541"/>
      <c r="AU51" s="366">
        <f>SUM(T48:T50)</f>
        <v>0</v>
      </c>
      <c r="AV51" s="366">
        <f>SUM(V48:V50)</f>
        <v>0</v>
      </c>
      <c r="AW51" s="366">
        <f>SUM(X48:X50)</f>
        <v>0</v>
      </c>
      <c r="AX51" s="366">
        <f>SUM(Z48:Z50)</f>
        <v>0</v>
      </c>
      <c r="AY51" s="366">
        <f>SUM(AB48:AB50)</f>
        <v>0</v>
      </c>
      <c r="AZ51" s="366">
        <f>SUM(AD48:AD50)</f>
        <v>0</v>
      </c>
      <c r="BA51" s="366">
        <f>SUM(AF48:AF50)</f>
        <v>0</v>
      </c>
      <c r="BB51" s="366">
        <f>SUM(AH48:AH50)</f>
        <v>0</v>
      </c>
      <c r="BC51" s="366">
        <f>SUM(AJ48:AJ50)</f>
        <v>0</v>
      </c>
      <c r="BD51" s="366">
        <f>SUM(AL48:AL50)</f>
        <v>0</v>
      </c>
      <c r="BE51" s="367">
        <f>SUM(AN48:AN50)</f>
        <v>0</v>
      </c>
      <c r="BF51" s="367">
        <f>SUM(AP48:AP50)</f>
        <v>0</v>
      </c>
    </row>
    <row r="52" spans="1:58" ht="3.95" hidden="1" customHeight="1">
      <c r="B52" s="274" t="str">
        <f>B51</f>
        <v>Hide</v>
      </c>
      <c r="E52" s="347"/>
      <c r="H52" s="271"/>
      <c r="I52" s="360" t="str">
        <f t="shared" si="12"/>
        <v>9999999</v>
      </c>
      <c r="K52" s="278"/>
      <c r="L52" s="275"/>
      <c r="M52" s="275"/>
      <c r="N52" s="274"/>
      <c r="O52" s="275"/>
      <c r="P52" s="275"/>
      <c r="Q52" s="356"/>
      <c r="R52" s="528"/>
      <c r="S52" s="528"/>
      <c r="T52" s="529"/>
      <c r="U52" s="528"/>
      <c r="V52" s="529"/>
      <c r="W52" s="528"/>
      <c r="X52" s="529"/>
      <c r="Y52" s="528"/>
      <c r="Z52" s="529"/>
      <c r="AA52" s="528"/>
      <c r="AB52" s="529"/>
      <c r="AC52" s="528"/>
      <c r="AD52" s="529"/>
      <c r="AE52" s="272"/>
      <c r="AF52" s="529"/>
      <c r="AG52" s="272"/>
      <c r="AH52" s="529"/>
      <c r="AI52" s="272"/>
      <c r="AJ52" s="529"/>
      <c r="AK52" s="272"/>
      <c r="AL52" s="529"/>
      <c r="AM52" s="529"/>
      <c r="AN52" s="532"/>
      <c r="AO52" s="532"/>
      <c r="AP52" s="532"/>
      <c r="AQ52" s="532"/>
      <c r="AS52" s="541"/>
    </row>
    <row r="53" spans="1:58" ht="3.95" customHeight="1">
      <c r="B53" s="274" t="s">
        <v>62</v>
      </c>
      <c r="E53" s="347"/>
      <c r="H53" s="271"/>
      <c r="I53" s="360"/>
      <c r="K53" s="278"/>
      <c r="L53" s="275"/>
      <c r="M53" s="275"/>
      <c r="N53" s="274"/>
      <c r="O53" s="275"/>
      <c r="P53" s="275"/>
      <c r="Q53" s="356"/>
      <c r="R53" s="528"/>
      <c r="S53" s="528"/>
      <c r="T53" s="529"/>
      <c r="U53" s="528"/>
      <c r="V53" s="529"/>
      <c r="W53" s="528"/>
      <c r="X53" s="529"/>
      <c r="Y53" s="528"/>
      <c r="Z53" s="529"/>
      <c r="AA53" s="528"/>
      <c r="AB53" s="529"/>
      <c r="AC53" s="528"/>
      <c r="AD53" s="529"/>
      <c r="AE53" s="272"/>
      <c r="AF53" s="529"/>
      <c r="AG53" s="272"/>
      <c r="AH53" s="529"/>
      <c r="AI53" s="272"/>
      <c r="AJ53" s="529"/>
      <c r="AK53" s="272"/>
      <c r="AL53" s="529"/>
      <c r="AM53" s="529"/>
      <c r="AN53" s="532"/>
      <c r="AO53" s="532"/>
      <c r="AP53" s="532"/>
      <c r="AQ53" s="532"/>
      <c r="AS53" s="541"/>
    </row>
    <row r="54" spans="1:58" ht="15" customHeight="1">
      <c r="B54" s="274" t="s">
        <v>62</v>
      </c>
      <c r="E54" s="347"/>
      <c r="H54" s="271"/>
      <c r="K54" s="278"/>
      <c r="L54" s="275"/>
      <c r="M54" s="275"/>
      <c r="O54" s="283"/>
      <c r="P54" s="283"/>
      <c r="Q54" s="356"/>
      <c r="R54" s="545" t="str">
        <f>IF(AND($F$22&gt;"399",$F$22&lt;"500"),"TOTAL OPERATING REVENUES","TOTAL REVENUES")</f>
        <v>TOTAL REVENUES</v>
      </c>
      <c r="S54" s="546"/>
      <c r="T54" s="547">
        <f>SUM(T37:T45)+SUM(AU49:AU53)</f>
        <v>0</v>
      </c>
      <c r="U54" s="546"/>
      <c r="V54" s="547">
        <f>SUM(V37:V45)+SUM(AV49:AV53)</f>
        <v>0</v>
      </c>
      <c r="W54" s="548"/>
      <c r="X54" s="547">
        <f>SUM(X37:X45)+SUM(AW49:AW53)</f>
        <v>0</v>
      </c>
      <c r="Y54" s="548"/>
      <c r="Z54" s="547">
        <f>SUM(Z37:Z45)+SUM(AX49:AX53)</f>
        <v>0</v>
      </c>
      <c r="AA54" s="548"/>
      <c r="AB54" s="547">
        <f>SUM(AB37:AB45)+SUM(AY49:AY53)</f>
        <v>0</v>
      </c>
      <c r="AC54" s="548"/>
      <c r="AD54" s="547">
        <f>SUM(AD37:AD45)+SUM(AZ49:AZ53)</f>
        <v>0</v>
      </c>
      <c r="AE54" s="549"/>
      <c r="AF54" s="547">
        <f>SUM(AF37:AF45)+SUM(BA49:BA53)</f>
        <v>0</v>
      </c>
      <c r="AG54" s="549"/>
      <c r="AH54" s="547">
        <f>SUM(AH37:AH45)+SUM(BB49:BB53)</f>
        <v>0</v>
      </c>
      <c r="AI54" s="549"/>
      <c r="AJ54" s="547">
        <f>SUM(AJ37:AJ45)+SUM(BC49:BC53)</f>
        <v>0</v>
      </c>
      <c r="AK54" s="549"/>
      <c r="AL54" s="547">
        <f>SUM(AL37:AL45)+SUM(BD49:BD53)</f>
        <v>0</v>
      </c>
      <c r="AM54" s="547"/>
      <c r="AN54" s="547">
        <f>SUM(AN37:AN45)+SUM(BE49:BE53)</f>
        <v>0</v>
      </c>
      <c r="AO54" s="547"/>
      <c r="AP54" s="550">
        <f>SUM(AP37:AP45)+SUM(BF49:BF53)</f>
        <v>0</v>
      </c>
      <c r="AQ54" s="534">
        <f>ABS(SUMIF(V54:AP54,"&gt;0")-SUMIF(V54:AP54,"&lt;0"))</f>
        <v>0</v>
      </c>
      <c r="AS54" s="541"/>
    </row>
    <row r="55" spans="1:58" ht="15.95" customHeight="1">
      <c r="B55" s="274" t="s">
        <v>62</v>
      </c>
      <c r="E55" s="347"/>
      <c r="K55" s="278"/>
      <c r="L55" s="275"/>
      <c r="M55" s="275"/>
      <c r="O55" s="283"/>
      <c r="P55" s="283"/>
      <c r="Q55" s="356"/>
      <c r="R55" s="528"/>
      <c r="S55" s="528"/>
      <c r="T55" s="529"/>
      <c r="U55" s="528"/>
      <c r="V55" s="529"/>
      <c r="W55" s="528"/>
      <c r="X55" s="529"/>
      <c r="Y55" s="528"/>
      <c r="Z55" s="529"/>
      <c r="AA55" s="528"/>
      <c r="AB55" s="529"/>
      <c r="AC55" s="528"/>
      <c r="AD55" s="529"/>
      <c r="AE55" s="551"/>
      <c r="AF55" s="529"/>
      <c r="AG55" s="551"/>
      <c r="AH55" s="529"/>
      <c r="AI55" s="551"/>
      <c r="AJ55" s="529"/>
      <c r="AK55" s="551"/>
      <c r="AL55" s="529"/>
      <c r="AM55" s="529"/>
      <c r="AN55" s="529"/>
      <c r="AO55" s="529"/>
      <c r="AP55" s="529"/>
      <c r="AQ55" s="529"/>
      <c r="AS55" s="541"/>
    </row>
    <row r="56" spans="1:58" ht="15" hidden="1" customHeight="1">
      <c r="B56" s="274" t="str">
        <f>IF(AQ60=0,"Hide","Show")</f>
        <v>Hide</v>
      </c>
      <c r="E56" s="336">
        <f>IF(OR($F$22=0,VALUE($F$22)&lt;=399,VALUE($F$22)&gt;499,$F$14="NO"),0,"552099..552199")</f>
        <v>0</v>
      </c>
      <c r="F56" s="300"/>
      <c r="K56" s="278"/>
      <c r="L56" s="275"/>
      <c r="M56" s="275"/>
      <c r="O56" s="283"/>
      <c r="P56" s="283"/>
      <c r="Q56" s="356"/>
      <c r="R56" s="527" t="s">
        <v>335</v>
      </c>
      <c r="S56" s="528"/>
      <c r="T56" s="529"/>
      <c r="U56" s="528"/>
      <c r="V56" s="529"/>
      <c r="W56" s="528"/>
      <c r="X56" s="529"/>
      <c r="Y56" s="528"/>
      <c r="Z56" s="529"/>
      <c r="AA56" s="528"/>
      <c r="AB56" s="529"/>
      <c r="AC56" s="528"/>
      <c r="AD56" s="529"/>
      <c r="AE56" s="551"/>
      <c r="AF56" s="529"/>
      <c r="AG56" s="551"/>
      <c r="AH56" s="529"/>
      <c r="AI56" s="551"/>
      <c r="AJ56" s="529"/>
      <c r="AK56" s="551"/>
      <c r="AL56" s="529"/>
      <c r="AM56" s="529"/>
      <c r="AN56" s="529"/>
      <c r="AO56" s="529"/>
      <c r="AP56" s="529"/>
      <c r="AQ56" s="529"/>
      <c r="AS56" s="541"/>
    </row>
    <row r="57" spans="1:58" ht="0.95" hidden="1" customHeight="1">
      <c r="B57" s="274" t="s">
        <v>31</v>
      </c>
      <c r="E57" s="347"/>
      <c r="K57" s="278"/>
      <c r="L57" s="275"/>
      <c r="M57" s="275"/>
      <c r="O57" s="283"/>
      <c r="P57" s="283"/>
      <c r="Q57" s="356"/>
      <c r="R57" s="528"/>
      <c r="S57" s="528"/>
      <c r="T57" s="529"/>
      <c r="U57" s="528"/>
      <c r="V57" s="529"/>
      <c r="W57" s="528"/>
      <c r="X57" s="529"/>
      <c r="Y57" s="528"/>
      <c r="Z57" s="529"/>
      <c r="AA57" s="528"/>
      <c r="AB57" s="529"/>
      <c r="AC57" s="528"/>
      <c r="AD57" s="529"/>
      <c r="AE57" s="551"/>
      <c r="AF57" s="529"/>
      <c r="AG57" s="551"/>
      <c r="AH57" s="529"/>
      <c r="AI57" s="551"/>
      <c r="AJ57" s="529"/>
      <c r="AK57" s="551"/>
      <c r="AL57" s="529"/>
      <c r="AM57" s="529"/>
      <c r="AN57" s="529"/>
      <c r="AO57" s="529"/>
      <c r="AP57" s="529"/>
      <c r="AQ57" s="529"/>
      <c r="AS57" s="541"/>
    </row>
    <row r="58" spans="1:58" ht="15.6" hidden="1" customHeight="1">
      <c r="A58" s="271" t="s">
        <v>236</v>
      </c>
      <c r="B58" s="271" t="str">
        <f>IF(AQ58=0,"Hide","Show")</f>
        <v>Hide</v>
      </c>
      <c r="E58" s="347"/>
      <c r="K58" s="337"/>
      <c r="L58" s="275" t="str">
        <f>$F$22</f>
        <v>201</v>
      </c>
      <c r="M58" s="275" t="str">
        <f>$J$7</f>
        <v>10/1/2016..9/30/2017</v>
      </c>
      <c r="N58" s="274" t="str">
        <f>$D$6</f>
        <v>HARMONY CDD</v>
      </c>
      <c r="O58" s="387" t="str">
        <f>IF(K58="","500000 50000",K58&amp;" "&amp;"50000")</f>
        <v>500000 50000</v>
      </c>
      <c r="P58" s="275">
        <f>K58</f>
        <v>0</v>
      </c>
      <c r="Q58" s="356"/>
      <c r="R58" s="528"/>
      <c r="S58" s="528"/>
      <c r="T58" s="2">
        <v>0</v>
      </c>
      <c r="U58" s="552"/>
      <c r="V58" s="2">
        <v>0</v>
      </c>
      <c r="W58" s="552"/>
      <c r="X58" s="2">
        <v>0</v>
      </c>
      <c r="Y58" s="552"/>
      <c r="Z58" s="2">
        <v>0</v>
      </c>
      <c r="AA58" s="552"/>
      <c r="AB58" s="2">
        <v>0</v>
      </c>
      <c r="AC58" s="552"/>
      <c r="AD58" s="2">
        <v>0</v>
      </c>
      <c r="AE58" s="553"/>
      <c r="AF58" s="2">
        <v>0</v>
      </c>
      <c r="AG58" s="2"/>
      <c r="AH58" s="2">
        <v>0</v>
      </c>
      <c r="AI58" s="2"/>
      <c r="AJ58" s="554">
        <v>0</v>
      </c>
      <c r="AK58" s="2"/>
      <c r="AL58" s="555">
        <f>IF(ISERROR(AH58+AJ58),0,(AH58+AJ58))</f>
        <v>0</v>
      </c>
      <c r="AM58" s="2"/>
      <c r="AN58" s="540">
        <v>0</v>
      </c>
      <c r="AO58" s="2"/>
      <c r="AP58" s="554">
        <f>IF($F$13="YES",AF58,AN58)</f>
        <v>0</v>
      </c>
      <c r="AQ58" s="534">
        <f>ABS(SUMIF(V58:AP58,"&gt;0")-SUMIF(V58:AP58,"&lt;0"))</f>
        <v>0</v>
      </c>
      <c r="AS58" s="535"/>
    </row>
    <row r="59" spans="1:58" ht="3.95" hidden="1" customHeight="1">
      <c r="B59" s="274" t="s">
        <v>31</v>
      </c>
      <c r="E59" s="347"/>
      <c r="K59" s="278"/>
      <c r="L59" s="275"/>
      <c r="M59" s="275"/>
      <c r="O59" s="283"/>
      <c r="P59" s="283"/>
      <c r="Q59" s="356"/>
      <c r="R59" s="528"/>
      <c r="S59" s="528"/>
      <c r="T59" s="529"/>
      <c r="U59" s="528"/>
      <c r="V59" s="529"/>
      <c r="W59" s="528"/>
      <c r="X59" s="529"/>
      <c r="Y59" s="528"/>
      <c r="Z59" s="529"/>
      <c r="AA59" s="528"/>
      <c r="AB59" s="529"/>
      <c r="AC59" s="528"/>
      <c r="AD59" s="529"/>
      <c r="AE59" s="551"/>
      <c r="AF59" s="529"/>
      <c r="AG59" s="551"/>
      <c r="AH59" s="529"/>
      <c r="AI59" s="551"/>
      <c r="AJ59" s="529"/>
      <c r="AK59" s="551"/>
      <c r="AL59" s="529"/>
      <c r="AM59" s="529"/>
      <c r="AN59" s="529"/>
      <c r="AO59" s="529"/>
      <c r="AP59" s="529"/>
      <c r="AQ59" s="529"/>
      <c r="AS59" s="541"/>
    </row>
    <row r="60" spans="1:58" ht="15.6" hidden="1" customHeight="1">
      <c r="B60" s="271" t="str">
        <f>IF(AQ60=0,"Hide","Show")</f>
        <v>Hide</v>
      </c>
      <c r="E60" s="347"/>
      <c r="K60" s="278"/>
      <c r="L60" s="275"/>
      <c r="M60" s="275"/>
      <c r="O60" s="283"/>
      <c r="P60" s="283"/>
      <c r="Q60" s="356"/>
      <c r="R60" s="556" t="str">
        <f>IF(AND($F$22&gt;"399",$F$22&lt;"500",$F$14="yes"),"Total Cost of Goods Sold","")</f>
        <v/>
      </c>
      <c r="S60" s="528"/>
      <c r="T60" s="557">
        <f>SUM(T57:T59)</f>
        <v>0</v>
      </c>
      <c r="U60" s="528"/>
      <c r="V60" s="557">
        <f>SUM(V57:V59)</f>
        <v>0</v>
      </c>
      <c r="W60" s="528"/>
      <c r="X60" s="557">
        <f>SUM(X57:X59)</f>
        <v>0</v>
      </c>
      <c r="Y60" s="528"/>
      <c r="Z60" s="557">
        <f>SUM(Z57:Z59)</f>
        <v>0</v>
      </c>
      <c r="AA60" s="528"/>
      <c r="AB60" s="557">
        <f>SUM(AB57:AB59)</f>
        <v>0</v>
      </c>
      <c r="AC60" s="528"/>
      <c r="AD60" s="557">
        <f>SUM(AD57:AD59)</f>
        <v>0</v>
      </c>
      <c r="AE60" s="551"/>
      <c r="AF60" s="557">
        <f>SUM(AF57:AF59)</f>
        <v>0</v>
      </c>
      <c r="AG60" s="551"/>
      <c r="AH60" s="557">
        <f>SUM(AH57:AH59)</f>
        <v>0</v>
      </c>
      <c r="AI60" s="551"/>
      <c r="AJ60" s="557">
        <f>SUM(AJ57:AJ59)</f>
        <v>0</v>
      </c>
      <c r="AK60" s="551"/>
      <c r="AL60" s="557">
        <f>SUM(AL57:AL59)</f>
        <v>0</v>
      </c>
      <c r="AM60" s="529"/>
      <c r="AN60" s="557">
        <f>SUM(AN57:AN59)</f>
        <v>0</v>
      </c>
      <c r="AO60" s="529"/>
      <c r="AP60" s="557">
        <f>SUM(AP57:AP59)</f>
        <v>0</v>
      </c>
      <c r="AQ60" s="534">
        <f>ABS(SUMIF(V60:AP60,"&gt;0")-SUMIF(V60:AP60,"&lt;0"))</f>
        <v>0</v>
      </c>
      <c r="AS60" s="541"/>
    </row>
    <row r="61" spans="1:58" ht="8.1" hidden="1" customHeight="1">
      <c r="B61" s="274" t="str">
        <f t="shared" ref="B61:B63" si="13">B60</f>
        <v>Hide</v>
      </c>
      <c r="E61" s="347"/>
      <c r="K61" s="278"/>
      <c r="L61" s="275"/>
      <c r="M61" s="275"/>
      <c r="O61" s="283"/>
      <c r="P61" s="283"/>
      <c r="Q61" s="356"/>
      <c r="R61" s="528"/>
      <c r="S61" s="528"/>
      <c r="T61" s="529"/>
      <c r="U61" s="528"/>
      <c r="V61" s="529"/>
      <c r="W61" s="528"/>
      <c r="X61" s="529"/>
      <c r="Y61" s="528"/>
      <c r="Z61" s="529"/>
      <c r="AA61" s="528"/>
      <c r="AB61" s="529"/>
      <c r="AC61" s="528"/>
      <c r="AD61" s="529"/>
      <c r="AE61" s="551"/>
      <c r="AF61" s="529"/>
      <c r="AG61" s="551"/>
      <c r="AH61" s="529"/>
      <c r="AI61" s="551"/>
      <c r="AJ61" s="529"/>
      <c r="AK61" s="551"/>
      <c r="AL61" s="529"/>
      <c r="AM61" s="529"/>
      <c r="AN61" s="529"/>
      <c r="AO61" s="529"/>
      <c r="AP61" s="529"/>
      <c r="AQ61" s="529"/>
      <c r="AS61" s="541"/>
    </row>
    <row r="62" spans="1:58" ht="15.95" hidden="1" customHeight="1">
      <c r="B62" s="274" t="str">
        <f t="shared" si="13"/>
        <v>Hide</v>
      </c>
      <c r="E62" s="347"/>
      <c r="K62" s="278"/>
      <c r="L62" s="275"/>
      <c r="M62" s="275"/>
      <c r="O62" s="283"/>
      <c r="P62" s="283"/>
      <c r="Q62" s="356"/>
      <c r="R62" s="545" t="str">
        <f>IF(AND($F$22&gt;"399",$F$22&lt;"500",$F$14="yes"),"GROSS PROFIT","")</f>
        <v/>
      </c>
      <c r="S62" s="546"/>
      <c r="T62" s="547">
        <f>IF(OR(VALUE($F$22)&lt;=399,VALUE($F$22)&gt;499,$F$14="NO"),0,T54-T60)</f>
        <v>0</v>
      </c>
      <c r="U62" s="546"/>
      <c r="V62" s="547">
        <f>IF(OR(VALUE($F$22)&lt;=399,VALUE($F$22)&gt;499,$F$14="NO"),0,V54-V60)</f>
        <v>0</v>
      </c>
      <c r="W62" s="548"/>
      <c r="X62" s="547">
        <f>IF(OR(VALUE($F$22)&lt;=399,VALUE($F$22)&gt;499,$F$14="NO"),0,X54-X60)</f>
        <v>0</v>
      </c>
      <c r="Y62" s="548"/>
      <c r="Z62" s="547">
        <f>IF(OR(VALUE($F$22)&lt;=399,VALUE($F$22)&gt;499,$F$14="NO"),0,Z54-Z60)</f>
        <v>0</v>
      </c>
      <c r="AA62" s="548"/>
      <c r="AB62" s="547">
        <f>IF(OR(VALUE($F$22)&lt;=399,VALUE($F$22)&gt;499,$F$14="NO"),0,AB54-AB60)</f>
        <v>0</v>
      </c>
      <c r="AC62" s="548"/>
      <c r="AD62" s="547">
        <f>IF(OR(VALUE($F$22)&lt;=399,VALUE($F$22)&gt;499,$F$14="NO"),0,AD54-AD60)</f>
        <v>0</v>
      </c>
      <c r="AE62" s="549"/>
      <c r="AF62" s="547">
        <f>IF(OR(VALUE($F$22)&lt;=399,VALUE($F$22)&gt;499,$F$14="NO"),0,AF54-AF60)</f>
        <v>0</v>
      </c>
      <c r="AG62" s="549"/>
      <c r="AH62" s="547">
        <f>IF(OR(VALUE($F$22)&lt;=399,VALUE($F$22)&gt;499,$F$14="NO"),0,AH54-AH60)</f>
        <v>0</v>
      </c>
      <c r="AI62" s="549"/>
      <c r="AJ62" s="547">
        <f>IF(OR(VALUE($F$22)&lt;=399,VALUE($F$22)&gt;499,$F$14="NO"),0,AJ54-AJ60)</f>
        <v>0</v>
      </c>
      <c r="AK62" s="549"/>
      <c r="AL62" s="547">
        <f>IF(OR(VALUE($F$22)&lt;=399,VALUE($F$22)&gt;499,$F$14="NO"),0,AL54-AL60)</f>
        <v>0</v>
      </c>
      <c r="AM62" s="547"/>
      <c r="AN62" s="547">
        <f>IF(OR(VALUE($F$22)&lt;=399,VALUE($F$22)&gt;499,$F$14="NO"),0,AN54-AN60)</f>
        <v>0</v>
      </c>
      <c r="AO62" s="547"/>
      <c r="AP62" s="550">
        <f>IF(OR(VALUE($F$22)&lt;=399,VALUE($F$22)&gt;499,$F$14="NO"),0,AP54-AP60)</f>
        <v>0</v>
      </c>
      <c r="AQ62" s="534">
        <f>ABS(SUMIF(V62:AP62,"&gt;0")-SUMIF(V62:AP62,"&lt;0"))</f>
        <v>0</v>
      </c>
      <c r="AS62" s="541"/>
    </row>
    <row r="63" spans="1:58" ht="15.95" hidden="1" customHeight="1">
      <c r="B63" s="274" t="str">
        <f t="shared" si="13"/>
        <v>Hide</v>
      </c>
      <c r="E63" s="347"/>
      <c r="K63" s="278"/>
      <c r="L63" s="275"/>
      <c r="M63" s="275"/>
      <c r="O63" s="283"/>
      <c r="P63" s="283"/>
      <c r="Q63" s="356"/>
      <c r="R63" s="528"/>
      <c r="S63" s="528"/>
      <c r="T63" s="529"/>
      <c r="U63" s="528"/>
      <c r="V63" s="529"/>
      <c r="W63" s="528"/>
      <c r="X63" s="529"/>
      <c r="Y63" s="528"/>
      <c r="Z63" s="529"/>
      <c r="AA63" s="528"/>
      <c r="AB63" s="529"/>
      <c r="AC63" s="528"/>
      <c r="AD63" s="529"/>
      <c r="AE63" s="551"/>
      <c r="AF63" s="529"/>
      <c r="AG63" s="551"/>
      <c r="AH63" s="529"/>
      <c r="AI63" s="551"/>
      <c r="AJ63" s="529"/>
      <c r="AK63" s="551"/>
      <c r="AL63" s="529"/>
      <c r="AM63" s="529"/>
      <c r="AN63" s="529"/>
      <c r="AO63" s="529"/>
      <c r="AP63" s="529"/>
      <c r="AQ63" s="529"/>
      <c r="AS63" s="541"/>
    </row>
    <row r="64" spans="1:58" ht="15" customHeight="1">
      <c r="B64" s="274" t="s">
        <v>62</v>
      </c>
      <c r="E64" s="347"/>
      <c r="K64" s="278"/>
      <c r="L64" s="275"/>
      <c r="M64" s="275"/>
      <c r="O64" s="283"/>
      <c r="P64" s="283"/>
      <c r="Q64" s="356"/>
      <c r="R64" s="527" t="str">
        <f>IF(AND($F$22&gt;"399",$F$22&lt;"500"),"OPERATING EXPENSES","EXPENDITURES")</f>
        <v>EXPENDITURES</v>
      </c>
      <c r="S64" s="528"/>
      <c r="T64" s="529"/>
      <c r="U64" s="528"/>
      <c r="V64" s="529"/>
      <c r="W64" s="528"/>
      <c r="X64" s="529"/>
      <c r="Y64" s="528"/>
      <c r="Z64" s="529"/>
      <c r="AA64" s="528"/>
      <c r="AB64" s="529"/>
      <c r="AC64" s="528"/>
      <c r="AD64" s="529"/>
      <c r="AE64" s="272"/>
      <c r="AF64" s="529"/>
      <c r="AG64" s="272"/>
      <c r="AH64" s="529"/>
      <c r="AI64" s="272"/>
      <c r="AJ64" s="529"/>
      <c r="AK64" s="272"/>
      <c r="AL64" s="529"/>
      <c r="AM64" s="529"/>
      <c r="AN64" s="532"/>
      <c r="AO64" s="532"/>
      <c r="AP64" s="532"/>
      <c r="AQ64" s="532"/>
      <c r="AS64" s="541"/>
    </row>
    <row r="65" spans="1:58" ht="3.95" customHeight="1">
      <c r="B65" s="274" t="s">
        <v>62</v>
      </c>
      <c r="E65" s="347"/>
      <c r="K65" s="278"/>
      <c r="L65" s="275"/>
      <c r="M65" s="275"/>
      <c r="O65" s="283"/>
      <c r="P65" s="283"/>
      <c r="Q65" s="356"/>
      <c r="R65" s="527"/>
      <c r="S65" s="528"/>
      <c r="T65" s="529"/>
      <c r="U65" s="528"/>
      <c r="V65" s="529"/>
      <c r="W65" s="528"/>
      <c r="X65" s="529"/>
      <c r="Y65" s="528"/>
      <c r="Z65" s="529"/>
      <c r="AA65" s="528"/>
      <c r="AB65" s="529"/>
      <c r="AC65" s="528"/>
      <c r="AD65" s="529"/>
      <c r="AE65" s="272"/>
      <c r="AF65" s="529"/>
      <c r="AG65" s="272"/>
      <c r="AH65" s="529"/>
      <c r="AI65" s="272"/>
      <c r="AJ65" s="529"/>
      <c r="AK65" s="272"/>
      <c r="AL65" s="529"/>
      <c r="AM65" s="529"/>
      <c r="AN65" s="532"/>
      <c r="AO65" s="532"/>
      <c r="AP65" s="532"/>
      <c r="AQ65" s="532"/>
      <c r="AS65" s="541"/>
    </row>
    <row r="66" spans="1:58" ht="15" hidden="1" customHeight="1">
      <c r="B66" s="274" t="str">
        <f>B70</f>
        <v>Hide</v>
      </c>
      <c r="E66" s="347"/>
      <c r="F66" s="347"/>
      <c r="G66" s="347"/>
      <c r="K66" s="278"/>
      <c r="L66" s="275"/>
      <c r="M66" s="275"/>
      <c r="O66" s="283"/>
      <c r="P66" s="283"/>
      <c r="Q66" s="356"/>
      <c r="R66" s="558" t="str">
        <f>IF(AND($F$22&gt;"399",$F$22&lt;"500"),"Personnel and Administration","Administrative")</f>
        <v>Administrative</v>
      </c>
      <c r="S66" s="528"/>
      <c r="T66" s="529"/>
      <c r="U66" s="528"/>
      <c r="V66" s="529"/>
      <c r="W66" s="528"/>
      <c r="X66" s="529"/>
      <c r="Y66" s="528"/>
      <c r="Z66" s="529"/>
      <c r="AA66" s="528"/>
      <c r="AB66" s="529"/>
      <c r="AC66" s="528"/>
      <c r="AD66" s="529"/>
      <c r="AE66" s="272"/>
      <c r="AF66" s="529"/>
      <c r="AG66" s="272"/>
      <c r="AH66" s="529"/>
      <c r="AI66" s="272"/>
      <c r="AJ66" s="529"/>
      <c r="AK66" s="272"/>
      <c r="AL66" s="529"/>
      <c r="AM66" s="529"/>
      <c r="AN66" s="532"/>
      <c r="AO66" s="532"/>
      <c r="AP66" s="532"/>
      <c r="AQ66" s="532"/>
      <c r="AS66" s="541"/>
    </row>
    <row r="67" spans="1:58" ht="15.95" hidden="1" customHeight="1">
      <c r="B67" s="271" t="s">
        <v>31</v>
      </c>
      <c r="E67" s="336" t="str">
        <f>IF($F$22=0,0,IF(OR($F$14="No",VALUE($F$22)&lt;=399,VALUE($F$22)&gt;499),"500000..564999|566000..579999","500000..552098|552200..564999|566000..579999"))</f>
        <v>500000..564999|566000..579999</v>
      </c>
      <c r="F67" s="336"/>
      <c r="G67" s="347"/>
      <c r="H67" s="360" t="s">
        <v>336</v>
      </c>
      <c r="K67" s="278"/>
      <c r="L67" s="275"/>
      <c r="M67" s="275"/>
      <c r="O67" s="283"/>
      <c r="P67" s="283"/>
      <c r="Q67" s="356"/>
      <c r="R67" s="559"/>
      <c r="S67" s="528"/>
      <c r="T67" s="529"/>
      <c r="U67" s="528"/>
      <c r="V67" s="529"/>
      <c r="W67" s="528"/>
      <c r="X67" s="529"/>
      <c r="Y67" s="528"/>
      <c r="Z67" s="529"/>
      <c r="AA67" s="528"/>
      <c r="AB67" s="529"/>
      <c r="AC67" s="528"/>
      <c r="AD67" s="529"/>
      <c r="AE67" s="272"/>
      <c r="AF67" s="529"/>
      <c r="AG67" s="272"/>
      <c r="AH67" s="529"/>
      <c r="AI67" s="272"/>
      <c r="AJ67" s="529"/>
      <c r="AK67" s="272"/>
      <c r="AL67" s="529"/>
      <c r="AM67" s="529"/>
      <c r="AN67" s="532"/>
      <c r="AO67" s="532"/>
      <c r="AP67" s="532"/>
      <c r="AQ67" s="532"/>
      <c r="AS67" s="560"/>
    </row>
    <row r="68" spans="1:58" ht="15.6" hidden="1" customHeight="1">
      <c r="A68" s="271" t="s">
        <v>236</v>
      </c>
      <c r="B68" s="271" t="str">
        <f>IF(AQ68=0,"Hide","Show")</f>
        <v>Hide</v>
      </c>
      <c r="K68" s="337" t="s">
        <v>485</v>
      </c>
      <c r="L68" s="275" t="str">
        <f>$F$22</f>
        <v>201</v>
      </c>
      <c r="M68" s="275" t="str">
        <f>$J$7</f>
        <v>10/1/2016..9/30/2017</v>
      </c>
      <c r="N68" s="274" t="str">
        <f>$D$6</f>
        <v>HARMONY CDD</v>
      </c>
      <c r="O68" s="387" t="str">
        <f>IF(K68="","500000 51699",K68&amp;" "&amp;"51699")</f>
        <v>549070 51699</v>
      </c>
      <c r="P68" s="283" t="str">
        <f>K68</f>
        <v>549070</v>
      </c>
      <c r="Q68" s="283"/>
      <c r="R68" s="552" t="s">
        <v>358</v>
      </c>
      <c r="S68" s="552"/>
      <c r="T68" s="2">
        <v>0</v>
      </c>
      <c r="U68" s="528"/>
      <c r="V68" s="2">
        <v>0</v>
      </c>
      <c r="W68" s="528"/>
      <c r="X68" s="2">
        <v>0</v>
      </c>
      <c r="Y68" s="528"/>
      <c r="Z68" s="2">
        <v>0</v>
      </c>
      <c r="AA68" s="528"/>
      <c r="AB68" s="2">
        <v>0</v>
      </c>
      <c r="AC68" s="528"/>
      <c r="AD68" s="2">
        <v>0</v>
      </c>
      <c r="AE68" s="553"/>
      <c r="AF68" s="2">
        <v>0</v>
      </c>
      <c r="AG68" s="2"/>
      <c r="AH68" s="2">
        <v>0</v>
      </c>
      <c r="AI68" s="2"/>
      <c r="AJ68" s="554">
        <v>0</v>
      </c>
      <c r="AK68" s="2"/>
      <c r="AL68" s="555">
        <f>IF(ISERROR(AH68+AJ68),0,(AH68+AJ68))</f>
        <v>0</v>
      </c>
      <c r="AM68" s="2"/>
      <c r="AN68" s="540">
        <v>0</v>
      </c>
      <c r="AO68" s="2"/>
      <c r="AP68" s="554">
        <f>IF($F$13="YES",AF68,AN68)</f>
        <v>0</v>
      </c>
      <c r="AQ68" s="534">
        <f>ABS(SUMIF(V68:AP68,"&gt;0")-SUMIF(V68:AP68,"&lt;0"))</f>
        <v>0</v>
      </c>
      <c r="AR68" s="561"/>
      <c r="AS68" s="535"/>
      <c r="AV68" s="346"/>
    </row>
    <row r="69" spans="1:58" ht="3.95" hidden="1" customHeight="1">
      <c r="B69" s="274" t="str">
        <f>B70</f>
        <v>Hide</v>
      </c>
      <c r="N69" s="274"/>
      <c r="Q69" s="320"/>
      <c r="T69" s="562"/>
      <c r="V69" s="562"/>
      <c r="X69" s="562"/>
      <c r="Z69" s="562"/>
      <c r="AB69" s="562"/>
      <c r="AD69" s="562"/>
      <c r="AF69" s="562"/>
      <c r="AH69" s="562"/>
      <c r="AJ69" s="562"/>
      <c r="AL69" s="562"/>
      <c r="AN69" s="562"/>
      <c r="AO69" s="562"/>
      <c r="AP69" s="562"/>
      <c r="AQ69" s="562"/>
      <c r="AS69" s="563"/>
    </row>
    <row r="70" spans="1:58" ht="15" hidden="1" customHeight="1">
      <c r="B70" s="271" t="str">
        <f>IF(AQ70=0,"Hide","Show")</f>
        <v>Hide</v>
      </c>
      <c r="N70" s="274"/>
      <c r="R70" s="556" t="str">
        <f>"Total "&amp;R66</f>
        <v>Total Administrative</v>
      </c>
      <c r="S70" s="525"/>
      <c r="T70" s="557">
        <f>SUM(T68:T69)</f>
        <v>0</v>
      </c>
      <c r="U70" s="564"/>
      <c r="V70" s="557">
        <f>SUM(V68:V69)</f>
        <v>0</v>
      </c>
      <c r="W70" s="564"/>
      <c r="X70" s="557">
        <f>SUM(X68:X69)</f>
        <v>0</v>
      </c>
      <c r="Y70" s="564"/>
      <c r="Z70" s="557">
        <f>SUM(Z68:Z69)</f>
        <v>0</v>
      </c>
      <c r="AA70" s="564"/>
      <c r="AB70" s="557">
        <f>SUM(AB68:AB69)</f>
        <v>0</v>
      </c>
      <c r="AC70" s="564"/>
      <c r="AD70" s="557">
        <f>SUM(AD68:AD69)</f>
        <v>0</v>
      </c>
      <c r="AE70" s="551"/>
      <c r="AF70" s="557">
        <f>SUM(AF68:AF69)</f>
        <v>0</v>
      </c>
      <c r="AG70" s="565"/>
      <c r="AH70" s="557">
        <f>SUM(AH68:AH69)</f>
        <v>0</v>
      </c>
      <c r="AI70" s="565"/>
      <c r="AJ70" s="557">
        <f>SUM(AJ68:AJ69)</f>
        <v>0</v>
      </c>
      <c r="AK70" s="565"/>
      <c r="AL70" s="557">
        <f>SUM(AL68:AL69)</f>
        <v>0</v>
      </c>
      <c r="AM70" s="565"/>
      <c r="AN70" s="557">
        <f>SUM(AN68:AN69)</f>
        <v>0</v>
      </c>
      <c r="AO70" s="565"/>
      <c r="AP70" s="557">
        <f>SUM(AP68:AP69)</f>
        <v>0</v>
      </c>
      <c r="AQ70" s="534">
        <f>ABS(SUMIF(V70:AP70,"&gt;0")-SUMIF(V70:AP70,"&lt;0"))</f>
        <v>0</v>
      </c>
      <c r="AS70" s="563"/>
    </row>
    <row r="71" spans="1:58" ht="9.9499999999999993" hidden="1" customHeight="1">
      <c r="B71" s="274" t="str">
        <f>B70</f>
        <v>Hide</v>
      </c>
      <c r="N71" s="274"/>
      <c r="AO71" s="562"/>
      <c r="AS71" s="563"/>
    </row>
    <row r="72" spans="1:58" hidden="1">
      <c r="B72" s="271" t="s">
        <v>31</v>
      </c>
      <c r="E72" s="336" t="str">
        <f>IF($F$22=0,0,IF(OR($F$14="No",VALUE($F$22)&lt;=399,VALUE($F$22)&gt;499),"500000..564999|566000..579999","500000..552098|552200..564999|566000..579999"))</f>
        <v>500000..564999|566000..579999</v>
      </c>
      <c r="F72" s="300"/>
      <c r="H72" s="360" t="s">
        <v>364</v>
      </c>
      <c r="N72" s="274"/>
      <c r="R72" s="436"/>
      <c r="S72" s="436"/>
      <c r="T72" s="436"/>
      <c r="U72" s="436"/>
      <c r="V72" s="436"/>
      <c r="W72" s="436"/>
      <c r="X72" s="436"/>
      <c r="Y72" s="436"/>
      <c r="Z72" s="436"/>
      <c r="AA72" s="436"/>
      <c r="AB72" s="436"/>
      <c r="AC72" s="436"/>
      <c r="AD72" s="436"/>
      <c r="AE72" s="436"/>
      <c r="AF72" s="436"/>
      <c r="AG72" s="436"/>
      <c r="AH72" s="566">
        <f>$Z$152+$Z$153</f>
        <v>0</v>
      </c>
      <c r="AI72" s="436"/>
      <c r="AJ72" s="436"/>
      <c r="AK72" s="436"/>
      <c r="AL72" s="436"/>
      <c r="AM72" s="436"/>
      <c r="AN72" s="436"/>
      <c r="AO72" s="562"/>
      <c r="AP72" s="436"/>
      <c r="AS72" s="563"/>
    </row>
    <row r="73" spans="1:58" hidden="1">
      <c r="B73" s="271" t="s">
        <v>31</v>
      </c>
      <c r="N73" s="274"/>
      <c r="AO73" s="562"/>
      <c r="AS73" s="563"/>
    </row>
    <row r="74" spans="1:58" hidden="1">
      <c r="B74" s="271" t="s">
        <v>31</v>
      </c>
      <c r="H74" s="272" t="s">
        <v>365</v>
      </c>
      <c r="I74" s="412"/>
      <c r="N74" s="274"/>
      <c r="AO74" s="562"/>
      <c r="AS74" s="563"/>
    </row>
    <row r="75" spans="1:58" ht="15" hidden="1" customHeight="1">
      <c r="B75" s="271" t="str">
        <f>IF(AQ78=0,"Hide","Show")</f>
        <v>Hide</v>
      </c>
      <c r="I75" s="413">
        <f t="shared" ref="I75:I79" si="14">I74</f>
        <v>0</v>
      </c>
      <c r="N75" s="274"/>
      <c r="R75" s="567"/>
      <c r="AO75" s="562"/>
      <c r="AS75" s="563"/>
      <c r="AU75" s="362" t="s">
        <v>301</v>
      </c>
      <c r="AV75" s="362" t="str">
        <f>$V$33</f>
        <v>FY 2012</v>
      </c>
      <c r="AW75" s="362" t="str">
        <f>$X$33</f>
        <v>FY 2013</v>
      </c>
      <c r="AX75" s="362" t="str">
        <f>$Z$33</f>
        <v>FY 2014</v>
      </c>
      <c r="AY75" s="362" t="str">
        <f>$AB$33</f>
        <v>FY - 2015</v>
      </c>
      <c r="AZ75" s="362" t="s">
        <v>327</v>
      </c>
      <c r="BA75" s="362" t="s">
        <v>328</v>
      </c>
      <c r="BB75" s="362" t="s">
        <v>329</v>
      </c>
      <c r="BC75" s="362" t="s">
        <v>330</v>
      </c>
      <c r="BD75" s="362" t="s">
        <v>289</v>
      </c>
      <c r="BE75" s="362" t="s">
        <v>331</v>
      </c>
      <c r="BF75" s="362" t="s">
        <v>332</v>
      </c>
    </row>
    <row r="76" spans="1:58" ht="15.6" hidden="1" customHeight="1">
      <c r="A76" s="271" t="s">
        <v>236</v>
      </c>
      <c r="B76" s="271" t="str">
        <f>IF(AQ76=0,"Hide","Show")</f>
        <v>Hide</v>
      </c>
      <c r="I76" s="413">
        <f t="shared" si="14"/>
        <v>0</v>
      </c>
      <c r="K76" s="337"/>
      <c r="L76" s="275" t="str">
        <f>$F$22</f>
        <v>201</v>
      </c>
      <c r="M76" s="275" t="str">
        <f>$J$7</f>
        <v>10/1/2016..9/30/2017</v>
      </c>
      <c r="N76" s="274" t="str">
        <f>$D$6</f>
        <v>HARMONY CDD</v>
      </c>
      <c r="O76" s="387" t="str">
        <f>IF(I76="","500000 51800",K76&amp;" "&amp;I76)</f>
        <v xml:space="preserve"> 0</v>
      </c>
      <c r="P76" s="283">
        <f>K76</f>
        <v>0</v>
      </c>
      <c r="R76" s="552"/>
      <c r="T76" s="2">
        <v>0</v>
      </c>
      <c r="U76" s="562"/>
      <c r="V76" s="2">
        <v>0</v>
      </c>
      <c r="W76" s="528"/>
      <c r="X76" s="2">
        <v>0</v>
      </c>
      <c r="Y76" s="528"/>
      <c r="Z76" s="2">
        <v>0</v>
      </c>
      <c r="AA76" s="528"/>
      <c r="AB76" s="2">
        <v>0</v>
      </c>
      <c r="AC76" s="528"/>
      <c r="AD76" s="2">
        <v>0</v>
      </c>
      <c r="AE76" s="553"/>
      <c r="AF76" s="2">
        <v>0</v>
      </c>
      <c r="AG76" s="2"/>
      <c r="AH76" s="2">
        <v>0</v>
      </c>
      <c r="AI76" s="2"/>
      <c r="AJ76" s="554">
        <v>0</v>
      </c>
      <c r="AK76" s="2"/>
      <c r="AL76" s="555">
        <f>IF(ISERROR(AH76+AJ76),0,(AH76+AJ76))</f>
        <v>0</v>
      </c>
      <c r="AM76" s="2"/>
      <c r="AN76" s="540">
        <v>0</v>
      </c>
      <c r="AO76" s="2"/>
      <c r="AP76" s="554">
        <f>IF($F$13="YES",AF76,AN76)</f>
        <v>0</v>
      </c>
      <c r="AQ76" s="534">
        <f>ABS(SUMIF(V76:AP76,"&gt;0")-SUMIF(V76:AP76,"&lt;0"))</f>
        <v>0</v>
      </c>
      <c r="AS76" s="535"/>
    </row>
    <row r="77" spans="1:58" ht="3.95" hidden="1" customHeight="1">
      <c r="B77" s="274" t="s">
        <v>31</v>
      </c>
      <c r="I77" s="413">
        <f t="shared" si="14"/>
        <v>0</v>
      </c>
      <c r="N77" s="274"/>
      <c r="P77" s="283"/>
      <c r="T77" s="562"/>
      <c r="V77" s="562"/>
      <c r="X77" s="562"/>
      <c r="Z77" s="562"/>
      <c r="AB77" s="562"/>
      <c r="AD77" s="562"/>
      <c r="AF77" s="562"/>
      <c r="AH77" s="562"/>
      <c r="AJ77" s="562"/>
      <c r="AL77" s="562"/>
      <c r="AN77" s="562"/>
      <c r="AO77" s="562"/>
      <c r="AP77" s="562"/>
      <c r="AS77" s="563"/>
    </row>
    <row r="78" spans="1:58" ht="15" hidden="1" customHeight="1">
      <c r="B78" s="271" t="str">
        <f>IF(AQ78=0,"Hide","Show")</f>
        <v>Hide</v>
      </c>
      <c r="I78" s="413">
        <f t="shared" si="14"/>
        <v>0</v>
      </c>
      <c r="N78" s="274"/>
      <c r="P78" s="283"/>
      <c r="R78" s="568" t="str">
        <f>"Total "&amp;($R75)</f>
        <v xml:space="preserve">Total </v>
      </c>
      <c r="T78" s="557">
        <f>SUM(T76:T77)</f>
        <v>0</v>
      </c>
      <c r="U78" s="272"/>
      <c r="V78" s="557">
        <f>SUM(V76:V77)</f>
        <v>0</v>
      </c>
      <c r="W78" s="564"/>
      <c r="X78" s="557">
        <f>SUM(X76:X77)</f>
        <v>0</v>
      </c>
      <c r="Y78" s="564"/>
      <c r="Z78" s="557">
        <f>SUM(Z76:Z77)</f>
        <v>0</v>
      </c>
      <c r="AA78" s="564"/>
      <c r="AB78" s="557">
        <f>SUM(AB76:AB77)</f>
        <v>0</v>
      </c>
      <c r="AC78" s="564"/>
      <c r="AD78" s="557">
        <f>SUM(AD76:AD77)</f>
        <v>0</v>
      </c>
      <c r="AE78" s="551"/>
      <c r="AF78" s="557">
        <f>SUM(AF76:AF77)</f>
        <v>0</v>
      </c>
      <c r="AG78" s="565"/>
      <c r="AH78" s="557">
        <f>SUM(AH76:AH77)</f>
        <v>0</v>
      </c>
      <c r="AI78" s="565"/>
      <c r="AJ78" s="557">
        <f>SUM(AJ76:AJ77)</f>
        <v>0</v>
      </c>
      <c r="AK78" s="565"/>
      <c r="AL78" s="557">
        <f>SUM(AL76:AL77)</f>
        <v>0</v>
      </c>
      <c r="AM78" s="565"/>
      <c r="AN78" s="557">
        <f>SUM(AN76:AN77)</f>
        <v>0</v>
      </c>
      <c r="AO78" s="565"/>
      <c r="AP78" s="557">
        <f>SUM(AP76:AP77)</f>
        <v>0</v>
      </c>
      <c r="AQ78" s="534">
        <f>ABS(SUMIF(V78:AP78,"&gt;0")-SUMIF(V78:AP78,"&lt;0"))</f>
        <v>0</v>
      </c>
      <c r="AS78" s="563"/>
      <c r="AU78" s="274">
        <f>SUM(T75:T77)</f>
        <v>0</v>
      </c>
      <c r="AV78" s="274">
        <f>SUM(V75:V77)</f>
        <v>0</v>
      </c>
      <c r="AW78" s="274">
        <f>SUM(X75:X77)</f>
        <v>0</v>
      </c>
      <c r="AX78" s="274">
        <f>SUM(Z75:Z77)</f>
        <v>0</v>
      </c>
      <c r="AY78" s="274">
        <f>SUM(AB75:AB77)</f>
        <v>0</v>
      </c>
      <c r="AZ78" s="274">
        <f>SUM(AD75:AD77)</f>
        <v>0</v>
      </c>
      <c r="BA78" s="274">
        <f>SUM(AF75:AF77)</f>
        <v>0</v>
      </c>
      <c r="BB78" s="274">
        <f>SUM(AH75:AH77)</f>
        <v>0</v>
      </c>
      <c r="BC78" s="274">
        <f>SUM(AJ75:AJ77)</f>
        <v>0</v>
      </c>
      <c r="BD78" s="274">
        <f>SUM(AL75:AL77)</f>
        <v>0</v>
      </c>
      <c r="BE78" s="274">
        <f>SUM(AN75:AN77)</f>
        <v>0</v>
      </c>
      <c r="BF78" s="274">
        <f>SUM(AP75:AP77)</f>
        <v>0</v>
      </c>
    </row>
    <row r="79" spans="1:58" ht="9.9499999999999993" hidden="1" customHeight="1">
      <c r="B79" s="271" t="str">
        <f>B78</f>
        <v>Hide</v>
      </c>
      <c r="I79" s="413">
        <f t="shared" si="14"/>
        <v>0</v>
      </c>
      <c r="N79" s="274"/>
      <c r="P79" s="283"/>
      <c r="AO79" s="562"/>
      <c r="AS79" s="563"/>
    </row>
    <row r="80" spans="1:58" hidden="1">
      <c r="B80" s="271" t="s">
        <v>31</v>
      </c>
      <c r="N80" s="274"/>
      <c r="P80" s="283"/>
      <c r="AO80" s="562"/>
      <c r="AS80" s="563"/>
    </row>
    <row r="81" spans="1:45" hidden="1">
      <c r="B81" s="271" t="s">
        <v>31</v>
      </c>
      <c r="N81" s="274"/>
      <c r="P81" s="283"/>
      <c r="R81" s="569" t="s">
        <v>437</v>
      </c>
      <c r="S81" s="569"/>
      <c r="T81" s="569">
        <f>SUM(AU77:AU80)</f>
        <v>0</v>
      </c>
      <c r="U81" s="569"/>
      <c r="V81" s="569">
        <f>SUM(AV77:AV80)</f>
        <v>0</v>
      </c>
      <c r="W81" s="569"/>
      <c r="X81" s="569">
        <f>SUM(AW77:AW80)</f>
        <v>0</v>
      </c>
      <c r="Y81" s="569"/>
      <c r="Z81" s="569">
        <f>SUM(AX77:AX80)</f>
        <v>0</v>
      </c>
      <c r="AA81" s="569"/>
      <c r="AB81" s="569">
        <f>SUM(AY77:AY80)</f>
        <v>0</v>
      </c>
      <c r="AC81" s="569"/>
      <c r="AD81" s="569">
        <f>SUM(AZ77:AZ80)</f>
        <v>0</v>
      </c>
      <c r="AE81" s="569"/>
      <c r="AF81" s="569">
        <f>SUM(BA77:BA80)</f>
        <v>0</v>
      </c>
      <c r="AG81" s="569"/>
      <c r="AH81" s="569">
        <f>SUM(BB77:BB80)</f>
        <v>0</v>
      </c>
      <c r="AI81" s="569"/>
      <c r="AJ81" s="569">
        <f>SUM(BC77:BC80)</f>
        <v>0</v>
      </c>
      <c r="AK81" s="569"/>
      <c r="AL81" s="569">
        <f>SUM(BD77:BD80)</f>
        <v>0</v>
      </c>
      <c r="AM81" s="569"/>
      <c r="AN81" s="569">
        <f>SUM(BE77:BE80)</f>
        <v>0</v>
      </c>
      <c r="AO81" s="256"/>
      <c r="AP81" s="569">
        <f>SUM(BF77:BF80)</f>
        <v>0</v>
      </c>
      <c r="AS81" s="563"/>
    </row>
    <row r="82" spans="1:45" ht="27" hidden="1">
      <c r="B82" s="271" t="s">
        <v>31</v>
      </c>
      <c r="E82" s="427" t="s">
        <v>438</v>
      </c>
      <c r="N82" s="274"/>
      <c r="P82" s="283"/>
      <c r="R82" s="436"/>
      <c r="S82" s="436"/>
      <c r="T82" s="436"/>
      <c r="U82" s="436"/>
      <c r="V82" s="436"/>
      <c r="W82" s="436"/>
      <c r="X82" s="436"/>
      <c r="Y82" s="436"/>
      <c r="Z82" s="436"/>
      <c r="AA82" s="436"/>
      <c r="AB82" s="436"/>
      <c r="AC82" s="436"/>
      <c r="AD82" s="436"/>
      <c r="AE82" s="436"/>
      <c r="AF82" s="436"/>
      <c r="AG82" s="436"/>
      <c r="AH82" s="566">
        <f>$Z$154+$Z$155+$Z$156+$Z$157</f>
        <v>0</v>
      </c>
      <c r="AI82" s="436"/>
      <c r="AJ82" s="436"/>
      <c r="AK82" s="436"/>
      <c r="AL82" s="436"/>
      <c r="AM82" s="436"/>
      <c r="AN82" s="436"/>
      <c r="AO82" s="562"/>
      <c r="AP82" s="436"/>
      <c r="AS82" s="563"/>
    </row>
    <row r="83" spans="1:45" ht="15" hidden="1" customHeight="1">
      <c r="B83" s="271" t="str">
        <f>IF(AQ86=0,"Hide","Show")</f>
        <v>Hide</v>
      </c>
      <c r="L83" s="275"/>
      <c r="M83" s="275"/>
      <c r="N83" s="274"/>
      <c r="O83" s="280"/>
      <c r="P83" s="283"/>
      <c r="R83" s="570" t="s">
        <v>439</v>
      </c>
      <c r="AO83" s="562"/>
      <c r="AS83" s="563"/>
    </row>
    <row r="84" spans="1:45" ht="15.6" hidden="1" customHeight="1">
      <c r="A84" s="271" t="s">
        <v>236</v>
      </c>
      <c r="B84" s="271" t="str">
        <f>IF(AQ84=0,"Hide","Show")</f>
        <v>Hide</v>
      </c>
      <c r="K84" s="337"/>
      <c r="L84" s="275" t="str">
        <f>$F$22</f>
        <v>201</v>
      </c>
      <c r="M84" s="275" t="str">
        <f>$J$7</f>
        <v>10/1/2016..9/30/2017</v>
      </c>
      <c r="N84" s="274" t="str">
        <f>$D$6</f>
        <v>HARMONY CDD</v>
      </c>
      <c r="O84" s="387" t="str">
        <f>IF(K84="","565999",K84)</f>
        <v>565999</v>
      </c>
      <c r="P84" s="283">
        <f>K84</f>
        <v>0</v>
      </c>
      <c r="R84" s="552"/>
      <c r="T84" s="571">
        <v>0</v>
      </c>
      <c r="U84" s="562"/>
      <c r="V84" s="571">
        <v>0</v>
      </c>
      <c r="W84" s="537"/>
      <c r="X84" s="571">
        <v>0</v>
      </c>
      <c r="Y84" s="537"/>
      <c r="Z84" s="571">
        <v>0</v>
      </c>
      <c r="AA84" s="537"/>
      <c r="AB84" s="571">
        <v>0</v>
      </c>
      <c r="AC84" s="537"/>
      <c r="AD84" s="571">
        <v>0</v>
      </c>
      <c r="AE84" s="571"/>
      <c r="AF84" s="571">
        <v>0</v>
      </c>
      <c r="AG84" s="571"/>
      <c r="AH84" s="571">
        <v>0</v>
      </c>
      <c r="AI84" s="571"/>
      <c r="AJ84" s="572">
        <v>0</v>
      </c>
      <c r="AK84" s="571"/>
      <c r="AL84" s="536">
        <f>IF(ISERROR(AH84+AJ84),0,(AH84+AJ84))</f>
        <v>0</v>
      </c>
      <c r="AM84" s="571"/>
      <c r="AN84" s="540">
        <v>0</v>
      </c>
      <c r="AO84" s="571"/>
      <c r="AP84" s="572">
        <f>IF($F$13="YES",AF84,AN84)</f>
        <v>0</v>
      </c>
      <c r="AQ84" s="534">
        <f>ABS(SUMIF(V84:AP84,"&gt;0")-SUMIF(V84:AP84,"&lt;0"))</f>
        <v>0</v>
      </c>
      <c r="AS84" s="535"/>
    </row>
    <row r="85" spans="1:45" ht="3.95" hidden="1" customHeight="1">
      <c r="B85" s="274" t="s">
        <v>31</v>
      </c>
      <c r="N85" s="274"/>
      <c r="P85" s="283"/>
      <c r="T85" s="562"/>
      <c r="V85" s="562"/>
      <c r="X85" s="562"/>
      <c r="Z85" s="562"/>
      <c r="AB85" s="562"/>
      <c r="AD85" s="562"/>
      <c r="AF85" s="562"/>
      <c r="AH85" s="562"/>
      <c r="AJ85" s="562"/>
      <c r="AL85" s="562"/>
      <c r="AN85" s="562"/>
      <c r="AO85" s="562"/>
      <c r="AP85" s="562"/>
      <c r="AS85" s="563"/>
    </row>
    <row r="86" spans="1:45" ht="15" hidden="1" customHeight="1">
      <c r="B86" s="271" t="str">
        <f>IF(AQ86=0,"Hide","Show")</f>
        <v>Hide</v>
      </c>
      <c r="N86" s="274"/>
      <c r="P86" s="283"/>
      <c r="R86" s="573" t="s">
        <v>440</v>
      </c>
      <c r="T86" s="557">
        <f>SUM(T84:T85)</f>
        <v>0</v>
      </c>
      <c r="U86" s="272"/>
      <c r="V86" s="557">
        <f>SUM(V84:V85)</f>
        <v>0</v>
      </c>
      <c r="W86" s="564"/>
      <c r="X86" s="557">
        <f>SUM(X84:X85)</f>
        <v>0</v>
      </c>
      <c r="Y86" s="564"/>
      <c r="Z86" s="557">
        <f>SUM(Z84:Z85)</f>
        <v>0</v>
      </c>
      <c r="AA86" s="564"/>
      <c r="AB86" s="557">
        <f>SUM(AB84:AB85)</f>
        <v>0</v>
      </c>
      <c r="AC86" s="564"/>
      <c r="AD86" s="557">
        <f>SUM(AD84:AD85)</f>
        <v>0</v>
      </c>
      <c r="AE86" s="551"/>
      <c r="AF86" s="557">
        <f>SUM(AF84:AF85)</f>
        <v>0</v>
      </c>
      <c r="AG86" s="565"/>
      <c r="AH86" s="557">
        <f>SUM(AH84:AH85)</f>
        <v>0</v>
      </c>
      <c r="AI86" s="565"/>
      <c r="AJ86" s="557">
        <f>SUM(AJ84:AJ85)</f>
        <v>0</v>
      </c>
      <c r="AK86" s="565"/>
      <c r="AL86" s="557">
        <f>SUM(AL84:AL85)</f>
        <v>0</v>
      </c>
      <c r="AM86" s="565"/>
      <c r="AN86" s="557">
        <f>SUM(AN84:AN85)</f>
        <v>0</v>
      </c>
      <c r="AO86" s="565"/>
      <c r="AP86" s="557">
        <f>SUM(AP84:AP85)</f>
        <v>0</v>
      </c>
      <c r="AQ86" s="534">
        <f>ABS(SUMIF(V86:AP86,"&gt;0")-SUMIF(V86:AP86,"&lt;0"))</f>
        <v>0</v>
      </c>
      <c r="AS86" s="563"/>
    </row>
    <row r="87" spans="1:45" ht="9.9499999999999993" hidden="1" customHeight="1">
      <c r="B87" s="271" t="str">
        <f>B86</f>
        <v>Hide</v>
      </c>
      <c r="E87" s="336" t="str">
        <f>IF($F$22=0,0,IF(OR($F$14="No",VALUE($F$22)&lt;=399,VALUE($F$22)&gt;499),"500000..564999|566000..579999","500000..552016|552028..552039|552046..564999|566000..579999"))</f>
        <v>500000..564999|566000..579999</v>
      </c>
      <c r="F87" s="300"/>
      <c r="H87" s="429" t="s">
        <v>441</v>
      </c>
      <c r="N87" s="274"/>
      <c r="P87" s="283"/>
      <c r="AO87" s="562"/>
      <c r="AS87" s="563"/>
    </row>
    <row r="88" spans="1:45" ht="15" hidden="1" customHeight="1">
      <c r="B88" s="271" t="str">
        <f>IF(AQ94=0,"Hide","Show")</f>
        <v>Hide</v>
      </c>
      <c r="N88" s="274"/>
      <c r="P88" s="283"/>
      <c r="R88" s="570" t="s">
        <v>166</v>
      </c>
      <c r="AO88" s="562"/>
      <c r="AS88" s="563"/>
    </row>
    <row r="89" spans="1:45" ht="15.6" hidden="1" customHeight="1">
      <c r="A89" s="271" t="s">
        <v>236</v>
      </c>
      <c r="B89" s="271" t="str">
        <f t="shared" ref="B89:B92" si="15">IF(AQ89=0,"Hide","Show")</f>
        <v>Hide</v>
      </c>
      <c r="K89" s="337" t="s">
        <v>486</v>
      </c>
      <c r="L89" s="275" t="str">
        <f t="shared" ref="L89:L92" si="16">$F$22</f>
        <v>201</v>
      </c>
      <c r="M89" s="275" t="str">
        <f t="shared" ref="M89:M92" si="17">$J$7</f>
        <v>10/1/2016..9/30/2017</v>
      </c>
      <c r="N89" s="274" t="str">
        <f t="shared" ref="N89:N92" si="18">$D$6</f>
        <v>HARMONY CDD</v>
      </c>
      <c r="O89" s="387" t="str">
        <f t="shared" ref="O89:O92" si="19">IF(K89="","500000 51799",K89&amp;" "&amp;"51799")</f>
        <v>571001 51799</v>
      </c>
      <c r="P89" s="283" t="str">
        <f t="shared" ref="P89:P92" si="20">K89</f>
        <v>571001</v>
      </c>
      <c r="R89" s="552" t="s">
        <v>487</v>
      </c>
      <c r="T89" s="571">
        <v>0</v>
      </c>
      <c r="U89" s="562"/>
      <c r="V89" s="571">
        <v>0</v>
      </c>
      <c r="W89" s="537"/>
      <c r="X89" s="571">
        <v>0</v>
      </c>
      <c r="Y89" s="537"/>
      <c r="Z89" s="571">
        <v>0</v>
      </c>
      <c r="AA89" s="537"/>
      <c r="AB89" s="571">
        <v>0</v>
      </c>
      <c r="AC89" s="537"/>
      <c r="AD89" s="571">
        <v>0</v>
      </c>
      <c r="AE89" s="571"/>
      <c r="AF89" s="571">
        <v>0</v>
      </c>
      <c r="AG89" s="571"/>
      <c r="AH89" s="571">
        <v>0</v>
      </c>
      <c r="AI89" s="571"/>
      <c r="AJ89" s="572">
        <v>0</v>
      </c>
      <c r="AK89" s="571"/>
      <c r="AL89" s="536">
        <f t="shared" ref="AL89:AL92" si="21">IF(ISERROR(AH89+AJ89),0,(AH89+AJ89))</f>
        <v>0</v>
      </c>
      <c r="AM89" s="571"/>
      <c r="AN89" s="540">
        <v>0</v>
      </c>
      <c r="AO89" s="571"/>
      <c r="AP89" s="572">
        <f t="shared" ref="AP89:AP92" si="22">IF($F$13="YES",AF89,AN89)</f>
        <v>0</v>
      </c>
      <c r="AQ89" s="534">
        <f t="shared" ref="AQ89:AQ92" si="23">ABS(SUMIF(V89:AP89,"&gt;0")-SUMIF(V89:AP89,"&lt;0"))</f>
        <v>0</v>
      </c>
      <c r="AS89" s="535"/>
    </row>
    <row r="90" spans="1:45" ht="15.6" hidden="1" customHeight="1">
      <c r="A90" s="271" t="s">
        <v>311</v>
      </c>
      <c r="B90" s="271" t="str">
        <f t="shared" si="15"/>
        <v>Hide</v>
      </c>
      <c r="K90" s="337" t="str">
        <f>"571006"</f>
        <v>571006</v>
      </c>
      <c r="L90" s="275" t="str">
        <f t="shared" si="16"/>
        <v>201</v>
      </c>
      <c r="M90" s="275" t="str">
        <f t="shared" si="17"/>
        <v>10/1/2016..9/30/2017</v>
      </c>
      <c r="N90" s="274" t="str">
        <f t="shared" si="18"/>
        <v>HARMONY CDD</v>
      </c>
      <c r="O90" s="387" t="str">
        <f t="shared" si="19"/>
        <v>571006 51799</v>
      </c>
      <c r="P90" s="283" t="str">
        <f t="shared" si="20"/>
        <v>571006</v>
      </c>
      <c r="R90" s="552" t="s">
        <v>488</v>
      </c>
      <c r="T90" s="571">
        <v>0</v>
      </c>
      <c r="U90" s="562"/>
      <c r="V90" s="571">
        <v>0</v>
      </c>
      <c r="W90" s="537"/>
      <c r="X90" s="571">
        <v>0</v>
      </c>
      <c r="Y90" s="537"/>
      <c r="Z90" s="571">
        <v>0</v>
      </c>
      <c r="AA90" s="537"/>
      <c r="AB90" s="571">
        <v>0</v>
      </c>
      <c r="AC90" s="537"/>
      <c r="AD90" s="571">
        <v>0</v>
      </c>
      <c r="AE90" s="571"/>
      <c r="AF90" s="571">
        <v>0</v>
      </c>
      <c r="AG90" s="571"/>
      <c r="AH90" s="571">
        <v>0</v>
      </c>
      <c r="AI90" s="571"/>
      <c r="AJ90" s="572">
        <v>0</v>
      </c>
      <c r="AK90" s="571"/>
      <c r="AL90" s="536">
        <f t="shared" si="21"/>
        <v>0</v>
      </c>
      <c r="AM90" s="571"/>
      <c r="AN90" s="540">
        <v>0</v>
      </c>
      <c r="AO90" s="571"/>
      <c r="AP90" s="572">
        <f t="shared" si="22"/>
        <v>0</v>
      </c>
      <c r="AQ90" s="534">
        <f t="shared" si="23"/>
        <v>0</v>
      </c>
      <c r="AS90" s="535"/>
    </row>
    <row r="91" spans="1:45" ht="15.6" hidden="1" customHeight="1">
      <c r="A91" s="271" t="s">
        <v>311</v>
      </c>
      <c r="B91" s="271" t="str">
        <f t="shared" si="15"/>
        <v>Hide</v>
      </c>
      <c r="K91" s="337" t="str">
        <f>"572001"</f>
        <v>572001</v>
      </c>
      <c r="L91" s="275" t="str">
        <f t="shared" si="16"/>
        <v>201</v>
      </c>
      <c r="M91" s="275" t="str">
        <f t="shared" si="17"/>
        <v>10/1/2016..9/30/2017</v>
      </c>
      <c r="N91" s="274" t="str">
        <f t="shared" si="18"/>
        <v>HARMONY CDD</v>
      </c>
      <c r="O91" s="387" t="str">
        <f t="shared" si="19"/>
        <v>572001 51799</v>
      </c>
      <c r="P91" s="283" t="str">
        <f t="shared" si="20"/>
        <v>572001</v>
      </c>
      <c r="R91" s="552" t="s">
        <v>443</v>
      </c>
      <c r="T91" s="571">
        <v>0</v>
      </c>
      <c r="U91" s="562"/>
      <c r="V91" s="571">
        <v>0</v>
      </c>
      <c r="W91" s="537"/>
      <c r="X91" s="571">
        <v>0</v>
      </c>
      <c r="Y91" s="537"/>
      <c r="Z91" s="571">
        <v>0</v>
      </c>
      <c r="AA91" s="537"/>
      <c r="AB91" s="571">
        <v>0</v>
      </c>
      <c r="AC91" s="537"/>
      <c r="AD91" s="571">
        <v>0</v>
      </c>
      <c r="AE91" s="571"/>
      <c r="AF91" s="571">
        <v>0</v>
      </c>
      <c r="AG91" s="571"/>
      <c r="AH91" s="571">
        <v>0</v>
      </c>
      <c r="AI91" s="571"/>
      <c r="AJ91" s="572">
        <v>0</v>
      </c>
      <c r="AK91" s="571"/>
      <c r="AL91" s="536">
        <f t="shared" si="21"/>
        <v>0</v>
      </c>
      <c r="AM91" s="571"/>
      <c r="AN91" s="540">
        <v>0</v>
      </c>
      <c r="AO91" s="571"/>
      <c r="AP91" s="572">
        <f t="shared" si="22"/>
        <v>0</v>
      </c>
      <c r="AQ91" s="534">
        <f t="shared" si="23"/>
        <v>0</v>
      </c>
      <c r="AS91" s="535"/>
    </row>
    <row r="92" spans="1:45" ht="15.6" hidden="1" customHeight="1">
      <c r="A92" s="271" t="s">
        <v>311</v>
      </c>
      <c r="B92" s="271" t="str">
        <f t="shared" si="15"/>
        <v>Hide</v>
      </c>
      <c r="K92" s="337" t="str">
        <f>"573001"</f>
        <v>573001</v>
      </c>
      <c r="L92" s="275" t="str">
        <f t="shared" si="16"/>
        <v>201</v>
      </c>
      <c r="M92" s="275" t="str">
        <f t="shared" si="17"/>
        <v>10/1/2016..9/30/2017</v>
      </c>
      <c r="N92" s="274" t="str">
        <f t="shared" si="18"/>
        <v>HARMONY CDD</v>
      </c>
      <c r="O92" s="387" t="str">
        <f t="shared" si="19"/>
        <v>573001 51799</v>
      </c>
      <c r="P92" s="283" t="str">
        <f t="shared" si="20"/>
        <v>573001</v>
      </c>
      <c r="R92" s="552" t="s">
        <v>489</v>
      </c>
      <c r="T92" s="571">
        <v>0</v>
      </c>
      <c r="U92" s="562"/>
      <c r="V92" s="571">
        <v>0</v>
      </c>
      <c r="W92" s="537"/>
      <c r="X92" s="571">
        <v>0</v>
      </c>
      <c r="Y92" s="537"/>
      <c r="Z92" s="571">
        <v>0</v>
      </c>
      <c r="AA92" s="537"/>
      <c r="AB92" s="571">
        <v>0</v>
      </c>
      <c r="AC92" s="537"/>
      <c r="AD92" s="571">
        <v>0</v>
      </c>
      <c r="AE92" s="571"/>
      <c r="AF92" s="571">
        <v>0</v>
      </c>
      <c r="AG92" s="571"/>
      <c r="AH92" s="571">
        <v>0</v>
      </c>
      <c r="AI92" s="571"/>
      <c r="AJ92" s="572">
        <v>0</v>
      </c>
      <c r="AK92" s="571"/>
      <c r="AL92" s="536">
        <f t="shared" si="21"/>
        <v>0</v>
      </c>
      <c r="AM92" s="571"/>
      <c r="AN92" s="540">
        <v>0</v>
      </c>
      <c r="AO92" s="571"/>
      <c r="AP92" s="572">
        <f t="shared" si="22"/>
        <v>0</v>
      </c>
      <c r="AQ92" s="534">
        <f t="shared" si="23"/>
        <v>0</v>
      </c>
      <c r="AS92" s="535"/>
    </row>
    <row r="93" spans="1:45" ht="3.95" hidden="1" customHeight="1">
      <c r="B93" s="274" t="s">
        <v>31</v>
      </c>
      <c r="N93" s="274"/>
      <c r="P93" s="283"/>
      <c r="T93" s="562"/>
      <c r="V93" s="562"/>
      <c r="X93" s="562"/>
      <c r="Z93" s="562"/>
      <c r="AB93" s="562"/>
      <c r="AD93" s="562"/>
      <c r="AF93" s="562"/>
      <c r="AH93" s="562"/>
      <c r="AJ93" s="562"/>
      <c r="AL93" s="562"/>
      <c r="AN93" s="562"/>
      <c r="AO93" s="562"/>
      <c r="AP93" s="562"/>
      <c r="AS93" s="563"/>
    </row>
    <row r="94" spans="1:45" ht="15" hidden="1" customHeight="1">
      <c r="B94" s="271" t="str">
        <f>IF(AQ94=0,"Hide","Show")</f>
        <v>Hide</v>
      </c>
      <c r="N94" s="274"/>
      <c r="P94" s="283"/>
      <c r="R94" s="574" t="s">
        <v>444</v>
      </c>
      <c r="T94" s="557">
        <f>SUM(T89:T93)</f>
        <v>0</v>
      </c>
      <c r="U94" s="272"/>
      <c r="V94" s="557">
        <f>SUM(V89:V93)</f>
        <v>0</v>
      </c>
      <c r="W94" s="564"/>
      <c r="X94" s="557">
        <f>SUM(X89:X93)</f>
        <v>0</v>
      </c>
      <c r="Y94" s="564"/>
      <c r="Z94" s="557">
        <f>SUM(Z89:Z93)</f>
        <v>0</v>
      </c>
      <c r="AA94" s="564"/>
      <c r="AB94" s="557">
        <f>SUM(AB89:AB93)</f>
        <v>0</v>
      </c>
      <c r="AC94" s="564"/>
      <c r="AD94" s="557">
        <f>SUM(AD89:AD93)</f>
        <v>0</v>
      </c>
      <c r="AE94" s="551"/>
      <c r="AF94" s="557">
        <f>SUM(AF89:AF93)</f>
        <v>0</v>
      </c>
      <c r="AG94" s="565"/>
      <c r="AH94" s="557">
        <f>SUM(AH89:AH93)</f>
        <v>0</v>
      </c>
      <c r="AI94" s="565"/>
      <c r="AJ94" s="557">
        <f>SUM(AJ89:AJ93)</f>
        <v>0</v>
      </c>
      <c r="AK94" s="565"/>
      <c r="AL94" s="557">
        <f>SUM(AL89:AL93)</f>
        <v>0</v>
      </c>
      <c r="AM94" s="565"/>
      <c r="AN94" s="557">
        <f>SUM(AN89:AN93)</f>
        <v>0</v>
      </c>
      <c r="AO94" s="565"/>
      <c r="AP94" s="557">
        <f>SUM(AP89:AP93)</f>
        <v>0</v>
      </c>
      <c r="AQ94" s="534">
        <f>ABS(SUMIF(V94:AP94,"&gt;0")-SUMIF(V94:AP94,"&lt;0"))</f>
        <v>0</v>
      </c>
      <c r="AS94" s="563"/>
    </row>
    <row r="95" spans="1:45" ht="9.9499999999999993" hidden="1" customHeight="1">
      <c r="B95" s="271" t="str">
        <f>B94</f>
        <v>Hide</v>
      </c>
      <c r="N95" s="274"/>
      <c r="P95" s="283"/>
      <c r="AO95" s="562"/>
      <c r="AS95" s="563"/>
    </row>
    <row r="96" spans="1:45" ht="15" hidden="1" customHeight="1">
      <c r="B96" s="271" t="str">
        <f>IF(AQ96=0,"Hide","Show")</f>
        <v>Hide</v>
      </c>
      <c r="N96" s="274"/>
      <c r="P96" s="283"/>
      <c r="R96" s="545" t="str">
        <f>IF(AND($F$22&gt;"399",$F$22&lt;"500"),"TOTAL OPERATING EXPENSES","TOTAL EXPENDITURES")</f>
        <v>TOTAL EXPENDITURES</v>
      </c>
      <c r="S96" s="575"/>
      <c r="T96" s="547">
        <f>IF($F$6="no",0,SUM(T94+T86+T81+T70))</f>
        <v>0</v>
      </c>
      <c r="U96" s="575"/>
      <c r="V96" s="547">
        <f>IF($F$6="no",0,SUM(V94+V86+V81+V70))</f>
        <v>0</v>
      </c>
      <c r="W96" s="575"/>
      <c r="X96" s="547">
        <f>IF($F$6="no",0,SUM(X94+X86+X81+X70))</f>
        <v>0</v>
      </c>
      <c r="Y96" s="575"/>
      <c r="Z96" s="547">
        <f>IF($F$6="no",0,SUM(Z94+Z86+Z81+Z70))</f>
        <v>0</v>
      </c>
      <c r="AA96" s="575"/>
      <c r="AB96" s="547">
        <f>IF($F$6="no",0,SUM(AB94+AB86+AB81+AB70))</f>
        <v>0</v>
      </c>
      <c r="AC96" s="575"/>
      <c r="AD96" s="547">
        <f>IF($F$6="no",0,SUM(AD94+AD86+AD81+AD70))</f>
        <v>0</v>
      </c>
      <c r="AE96" s="575"/>
      <c r="AF96" s="547">
        <f>IF($F$6="no",0,SUM(AF94+AF86+AF81+AF70))</f>
        <v>0</v>
      </c>
      <c r="AG96" s="575"/>
      <c r="AH96" s="547">
        <f>IF($F$6="no",0,SUM(AH94+AH86+AH81+AH70))</f>
        <v>0</v>
      </c>
      <c r="AI96" s="575"/>
      <c r="AJ96" s="547">
        <f>IF($F$6="no",0,SUM(AJ94+AJ86+AJ81+AJ70))</f>
        <v>0</v>
      </c>
      <c r="AK96" s="575"/>
      <c r="AL96" s="547">
        <f>IF($F$6="no",0,SUM(AL94+AL86+AL81+AL70))</f>
        <v>0</v>
      </c>
      <c r="AM96" s="575"/>
      <c r="AN96" s="547">
        <f>IF($F$6="no",0,SUM(AN94+AN86+AN81+AN70))</f>
        <v>0</v>
      </c>
      <c r="AO96" s="547"/>
      <c r="AP96" s="550">
        <f>IF($F$6="no",0,SUM(AP94+AP86+AP81+AP70))</f>
        <v>0</v>
      </c>
      <c r="AQ96" s="534">
        <f>ABS(SUMIF(V96:AP96,"&gt;0")-SUMIF(V96:AP96,"&lt;0"))</f>
        <v>0</v>
      </c>
      <c r="AS96" s="563"/>
    </row>
    <row r="97" spans="1:45" ht="9.9499999999999993" hidden="1" customHeight="1">
      <c r="B97" s="271" t="str">
        <f>B96</f>
        <v>Hide</v>
      </c>
      <c r="E97" s="336" t="str">
        <f>IF($F$22=0,0,IF(OR($F$14="No",VALUE($F$22)&lt;=399,VALUE($F$22)&gt;499),"500000..564999|566000..579999","500000..552016|552028..552039|552046..564999|566000..579999"))</f>
        <v>500000..564999|566000..579999</v>
      </c>
      <c r="F97" s="300"/>
      <c r="H97" s="433">
        <v>58100</v>
      </c>
      <c r="N97" s="274"/>
      <c r="P97" s="283"/>
      <c r="AO97" s="562"/>
      <c r="AS97" s="563"/>
    </row>
    <row r="98" spans="1:45" ht="15" hidden="1" customHeight="1">
      <c r="B98" s="271" t="str">
        <f>IF(AQ101=0,"Hide","Show")</f>
        <v>Hide</v>
      </c>
      <c r="N98" s="274"/>
      <c r="P98" s="283"/>
      <c r="R98" s="570" t="s">
        <v>445</v>
      </c>
      <c r="AO98" s="562"/>
      <c r="AQ98" s="534"/>
      <c r="AS98" s="563"/>
    </row>
    <row r="99" spans="1:45" ht="15.6" hidden="1" customHeight="1">
      <c r="A99" s="271" t="s">
        <v>236</v>
      </c>
      <c r="B99" s="271" t="str">
        <f>IF(AQ99=0,"Hide","Show")</f>
        <v>Hide</v>
      </c>
      <c r="K99" s="337"/>
      <c r="L99" s="275" t="str">
        <f>$F$22</f>
        <v>201</v>
      </c>
      <c r="M99" s="275" t="str">
        <f>$J$7</f>
        <v>10/1/2016..9/30/2017</v>
      </c>
      <c r="N99" s="274" t="str">
        <f>$D$6</f>
        <v>HARMONY CDD</v>
      </c>
      <c r="O99" s="387" t="str">
        <f>IF(K99="","500000 58100",K99&amp;" "&amp;"58100")</f>
        <v>500000 58100</v>
      </c>
      <c r="P99" s="283">
        <f>K99</f>
        <v>0</v>
      </c>
      <c r="R99" s="552"/>
      <c r="T99" s="571">
        <v>0</v>
      </c>
      <c r="U99" s="562"/>
      <c r="V99" s="571">
        <v>0</v>
      </c>
      <c r="W99" s="537"/>
      <c r="X99" s="571">
        <v>0</v>
      </c>
      <c r="Y99" s="537"/>
      <c r="Z99" s="571">
        <v>0</v>
      </c>
      <c r="AA99" s="537"/>
      <c r="AB99" s="571">
        <v>0</v>
      </c>
      <c r="AC99" s="537"/>
      <c r="AD99" s="571">
        <v>0</v>
      </c>
      <c r="AE99" s="571"/>
      <c r="AF99" s="571">
        <v>0</v>
      </c>
      <c r="AG99" s="571"/>
      <c r="AH99" s="571">
        <v>0</v>
      </c>
      <c r="AI99" s="571"/>
      <c r="AJ99" s="572">
        <v>0</v>
      </c>
      <c r="AK99" s="571"/>
      <c r="AL99" s="536">
        <f>IF(ISERROR(AH99+AJ99),0,(AH99+AJ99))</f>
        <v>0</v>
      </c>
      <c r="AM99" s="571"/>
      <c r="AN99" s="540">
        <v>0</v>
      </c>
      <c r="AO99" s="571"/>
      <c r="AP99" s="572">
        <f>IF($F$13="YES",AF99,AN99)</f>
        <v>0</v>
      </c>
      <c r="AQ99" s="534">
        <f>ABS(SUMIF(V99:AP99,"&gt;0")-SUMIF(V99:AP99,"&lt;0"))</f>
        <v>0</v>
      </c>
      <c r="AS99" s="535"/>
    </row>
    <row r="100" spans="1:45" ht="3.95" hidden="1" customHeight="1">
      <c r="B100" s="274" t="s">
        <v>31</v>
      </c>
      <c r="P100" s="283"/>
      <c r="T100" s="562"/>
      <c r="V100" s="562"/>
      <c r="X100" s="562"/>
      <c r="Z100" s="562"/>
      <c r="AB100" s="562"/>
      <c r="AD100" s="562"/>
      <c r="AF100" s="562"/>
      <c r="AH100" s="562"/>
      <c r="AJ100" s="562"/>
      <c r="AL100" s="562"/>
      <c r="AN100" s="562"/>
      <c r="AO100" s="562"/>
      <c r="AP100" s="562"/>
      <c r="AS100" s="563"/>
    </row>
    <row r="101" spans="1:45" hidden="1">
      <c r="B101" s="271" t="str">
        <f>IF(AQ101=0,"Hide","Show")</f>
        <v>Hide</v>
      </c>
      <c r="P101" s="283"/>
      <c r="R101" s="573" t="s">
        <v>448</v>
      </c>
      <c r="S101" s="272"/>
      <c r="T101" s="557">
        <f>SUM(T99:T100)</f>
        <v>0</v>
      </c>
      <c r="U101" s="272"/>
      <c r="V101" s="557">
        <f>SUM(V99:V100)</f>
        <v>0</v>
      </c>
      <c r="W101" s="564"/>
      <c r="X101" s="557">
        <f>SUM(X99:X100)</f>
        <v>0</v>
      </c>
      <c r="Y101" s="564"/>
      <c r="Z101" s="557">
        <f>SUM(Z99:Z100)</f>
        <v>0</v>
      </c>
      <c r="AA101" s="564"/>
      <c r="AB101" s="557">
        <f>SUM(AB99:AB100)</f>
        <v>0</v>
      </c>
      <c r="AC101" s="564"/>
      <c r="AD101" s="557">
        <f>SUM(AD99:AD100)</f>
        <v>0</v>
      </c>
      <c r="AE101" s="551"/>
      <c r="AF101" s="557">
        <f>SUM(AF99:AF100)</f>
        <v>0</v>
      </c>
      <c r="AG101" s="565"/>
      <c r="AH101" s="557">
        <f>SUM(AH99:AH100)</f>
        <v>0</v>
      </c>
      <c r="AI101" s="565"/>
      <c r="AJ101" s="557">
        <f>SUM(AJ99:AJ100)</f>
        <v>0</v>
      </c>
      <c r="AK101" s="565"/>
      <c r="AL101" s="557">
        <f>SUM(AL99:AL100)</f>
        <v>0</v>
      </c>
      <c r="AM101" s="565"/>
      <c r="AN101" s="557">
        <f>SUM(AN99:AN100)</f>
        <v>0</v>
      </c>
      <c r="AO101" s="565"/>
      <c r="AP101" s="557">
        <f>SUM(AP99:AP100)</f>
        <v>0</v>
      </c>
      <c r="AQ101" s="534">
        <f>ABS(SUMIF(V101:AP101,"&gt;0")-SUMIF(V101:AP101,"&lt;0"))</f>
        <v>0</v>
      </c>
      <c r="AS101" s="576"/>
    </row>
    <row r="102" spans="1:45" ht="9.9499999999999993" hidden="1" customHeight="1">
      <c r="B102" s="271" t="str">
        <f>B101</f>
        <v>Hide</v>
      </c>
      <c r="P102" s="283"/>
      <c r="AO102" s="562"/>
      <c r="AS102" s="576"/>
    </row>
    <row r="103" spans="1:45" ht="15" customHeight="1">
      <c r="B103" s="271" t="s">
        <v>62</v>
      </c>
      <c r="N103" s="436" t="str">
        <f>IF(AQ101=0,""," &amp; RESERVES")</f>
        <v/>
      </c>
      <c r="P103" s="283"/>
      <c r="R103" s="545" t="str">
        <f>TRIM(IF(AND($F$22&gt;"399",$F$22&lt;"500"),"TOTAL OPERATING EXPENSES"&amp;N103,"TOTAL EXPENDITURES"&amp;N103))</f>
        <v>TOTAL EXPENDITURES</v>
      </c>
      <c r="S103" s="575"/>
      <c r="T103" s="547">
        <f>SUM(T94+T86+T81+T70+T101)</f>
        <v>0</v>
      </c>
      <c r="U103" s="575"/>
      <c r="V103" s="547">
        <f>SUM(V94+V86+V81+V70+V101)</f>
        <v>0</v>
      </c>
      <c r="W103" s="575"/>
      <c r="X103" s="547">
        <f>SUM(X94+X86+X81+X70+X101)</f>
        <v>0</v>
      </c>
      <c r="Y103" s="575"/>
      <c r="Z103" s="547">
        <f>SUM(Z94+Z86+Z81+Z70+Z101)</f>
        <v>0</v>
      </c>
      <c r="AA103" s="575"/>
      <c r="AB103" s="547">
        <f>SUM(AB94+AB86+AB81+AB70+AB101)</f>
        <v>0</v>
      </c>
      <c r="AC103" s="575"/>
      <c r="AD103" s="547">
        <f>SUM(AD94+AD86+AD81+AD70+AD101)</f>
        <v>0</v>
      </c>
      <c r="AE103" s="575"/>
      <c r="AF103" s="547">
        <f>SUM(AF94+AF86+AF81+AF70+AF101)</f>
        <v>0</v>
      </c>
      <c r="AG103" s="575"/>
      <c r="AH103" s="547">
        <f>SUM(AH94+AH86+AH81+AH70+AH101)</f>
        <v>0</v>
      </c>
      <c r="AI103" s="575"/>
      <c r="AJ103" s="547">
        <f>SUM(AJ94+AJ86+AJ81+AJ70+AJ101)</f>
        <v>0</v>
      </c>
      <c r="AK103" s="575"/>
      <c r="AL103" s="547">
        <f>SUM(AL94+AL86+AL81+AL70+AL101)</f>
        <v>0</v>
      </c>
      <c r="AM103" s="575"/>
      <c r="AN103" s="547">
        <f>SUM(AN94+AN86+AN81+AN70+AN101)</f>
        <v>0</v>
      </c>
      <c r="AO103" s="547"/>
      <c r="AP103" s="550">
        <f>SUM(AP94+AP86+AP81+AP70+AP101)</f>
        <v>0</v>
      </c>
      <c r="AQ103" s="534">
        <f>ABS(SUMIF(V103:AP103,"&gt;0")-SUMIF(V103:AP103,"&lt;0"))</f>
        <v>0</v>
      </c>
      <c r="AS103" s="576"/>
    </row>
    <row r="104" spans="1:45" ht="9.9499999999999993" customHeight="1">
      <c r="B104" s="271" t="s">
        <v>62</v>
      </c>
      <c r="P104" s="283"/>
      <c r="AO104" s="562"/>
      <c r="AS104" s="576"/>
    </row>
    <row r="105" spans="1:45" ht="15" customHeight="1">
      <c r="B105" s="271" t="str">
        <f>IF(R105="","Hide","Show")</f>
        <v>Show</v>
      </c>
      <c r="P105" s="283"/>
      <c r="R105" s="552" t="str">
        <f>IF(AND($F$22&gt;"399",$F$22&lt;"500"),"","Excess (deficiency) of revenues")</f>
        <v>Excess (deficiency) of revenues</v>
      </c>
      <c r="AO105" s="562"/>
      <c r="AS105" s="576"/>
    </row>
    <row r="106" spans="1:45" ht="15" customHeight="1">
      <c r="B106" s="271" t="s">
        <v>62</v>
      </c>
      <c r="P106" s="283"/>
      <c r="R106" s="576" t="str">
        <f>IF(AND($F$22&gt;"399",$F$22&lt;"500"),"Operating income (loss)","Over (under) expenditures")</f>
        <v>Over (under) expenditures</v>
      </c>
      <c r="T106" s="577">
        <f>SUM(T54-T103-T60)</f>
        <v>0</v>
      </c>
      <c r="V106" s="577">
        <f>SUM(V54-V103-V60)</f>
        <v>0</v>
      </c>
      <c r="W106" s="571"/>
      <c r="X106" s="577">
        <f>SUM(X54-X103-X60)</f>
        <v>0</v>
      </c>
      <c r="Y106" s="571"/>
      <c r="Z106" s="577">
        <f>SUM(Z54-Z103-Z60)</f>
        <v>0</v>
      </c>
      <c r="AA106" s="571"/>
      <c r="AB106" s="577">
        <f>SUM(AB54-AB103-AB60)</f>
        <v>0</v>
      </c>
      <c r="AC106" s="571"/>
      <c r="AD106" s="577">
        <f>SUM(AD54-AD103-AD60)</f>
        <v>0</v>
      </c>
      <c r="AE106" s="571"/>
      <c r="AF106" s="577">
        <f>SUM(AF54-AF103-AF60)</f>
        <v>0</v>
      </c>
      <c r="AG106" s="571"/>
      <c r="AH106" s="577">
        <f>SUM(AH54-AH103-AH60)</f>
        <v>0</v>
      </c>
      <c r="AI106" s="571"/>
      <c r="AJ106" s="577">
        <f>SUM(AJ54-AJ103-AJ60)</f>
        <v>0</v>
      </c>
      <c r="AK106" s="571"/>
      <c r="AL106" s="577">
        <f>SUM(AL54-AL103-AL60)</f>
        <v>0</v>
      </c>
      <c r="AM106" s="571"/>
      <c r="AN106" s="577">
        <f>SUM(AN54-AN103-AN60)</f>
        <v>0</v>
      </c>
      <c r="AO106" s="571"/>
      <c r="AP106" s="577">
        <f>SUM(AP54-AP103-AP60)</f>
        <v>0</v>
      </c>
      <c r="AQ106" s="534">
        <f>ABS(SUMIF(V106:AP106,"&gt;0")-SUMIF(V106:AP106,"&lt;0"))</f>
        <v>0</v>
      </c>
      <c r="AS106" s="576"/>
    </row>
    <row r="107" spans="1:45" ht="9.9499999999999993" customHeight="1">
      <c r="B107" s="271" t="s">
        <v>62</v>
      </c>
      <c r="P107" s="283"/>
      <c r="AO107" s="562"/>
      <c r="AS107" s="576"/>
    </row>
    <row r="108" spans="1:45" hidden="1">
      <c r="B108" s="271" t="s">
        <v>31</v>
      </c>
      <c r="P108" s="283"/>
      <c r="R108" s="436"/>
      <c r="S108" s="436"/>
      <c r="T108" s="436"/>
      <c r="U108" s="436"/>
      <c r="V108" s="436"/>
      <c r="W108" s="436"/>
      <c r="X108" s="436"/>
      <c r="Y108" s="436"/>
      <c r="Z108" s="436"/>
      <c r="AA108" s="436"/>
      <c r="AB108" s="436"/>
      <c r="AC108" s="436"/>
      <c r="AD108" s="436"/>
      <c r="AE108" s="436"/>
      <c r="AF108" s="436"/>
      <c r="AG108" s="436"/>
      <c r="AH108" s="436"/>
      <c r="AI108" s="436"/>
      <c r="AJ108" s="436"/>
      <c r="AK108" s="436"/>
      <c r="AL108" s="436"/>
      <c r="AM108" s="436"/>
      <c r="AN108" s="436"/>
      <c r="AO108" s="562"/>
      <c r="AP108" s="436"/>
      <c r="AS108" s="576"/>
    </row>
    <row r="109" spans="1:45" hidden="1">
      <c r="B109" s="271" t="s">
        <v>31</v>
      </c>
      <c r="E109" s="271"/>
      <c r="F109" s="271"/>
      <c r="H109" s="271"/>
      <c r="P109" s="283"/>
      <c r="R109" s="436"/>
      <c r="S109" s="436"/>
      <c r="T109" s="578">
        <f>IF(AND(VALUE($F$22)&gt;399,VALUE($F$22)&lt;500),0,IF(OR($F$11="NO",T$1="HIDE",T$4="ACTUAL"),0,T106+T117))</f>
        <v>0</v>
      </c>
      <c r="U109" s="436"/>
      <c r="V109" s="578">
        <f>IF(AND(VALUE($F$22)&gt;399,VALUE($F$22)&lt;500),0,IF(OR($F$11="NO",V$1="HIDE",V$4="ACTUAL"),0,V106+V117))</f>
        <v>0</v>
      </c>
      <c r="W109" s="436"/>
      <c r="X109" s="578">
        <f>IF(AND(VALUE($F$22)&gt;399,VALUE($F$22)&lt;500),0,IF(OR($F$11="NO",X$1="HIDE",X$4="ACTUAL"),0,X106+X117))</f>
        <v>0</v>
      </c>
      <c r="Y109" s="436"/>
      <c r="Z109" s="578">
        <f>IF(AND(VALUE($F$22)&gt;399,VALUE($F$22)&lt;500),0,IF(OR($F$11="NO",Z$1="HIDE",Z$4="ACTUAL"),0,Z106+Z117))</f>
        <v>0</v>
      </c>
      <c r="AA109" s="436"/>
      <c r="AB109" s="578">
        <f>IF(AND(VALUE($F$22)&gt;399,VALUE($F$22)&lt;500),0,IF(OR($F$11="NO",AB$1="HIDE",AB$4="ACTUAL"),0,AB106+AB117))</f>
        <v>0</v>
      </c>
      <c r="AC109" s="436"/>
      <c r="AD109" s="578">
        <f>IF(AND(VALUE($F$22)&gt;399,VALUE($F$22)&lt;500),0,IF(OR($F$11="NO",AD$1="HIDE",AD$4="ACTUAL"),0,AD106+AD117))</f>
        <v>0</v>
      </c>
      <c r="AE109" s="436"/>
      <c r="AF109" s="578">
        <f>IF(AND(VALUE($F$22)&gt;399,VALUE($F$22)&lt;500),0,IF(OR($F$11="NO",AF$1="HIDE",AF$4="ACTUAL"),0,AF106+AF117))</f>
        <v>0</v>
      </c>
      <c r="AG109" s="436"/>
      <c r="AH109" s="578">
        <f>IF(AND(VALUE($F$22)&gt;399,VALUE($F$22)&lt;500),0,IF(OR($F$11="NO",AH$1="HIDE",AH$4="ACTUAL"),0,AH106+AH117))</f>
        <v>0</v>
      </c>
      <c r="AI109" s="436"/>
      <c r="AJ109" s="578">
        <v>0</v>
      </c>
      <c r="AK109" s="436"/>
      <c r="AL109" s="579">
        <v>0</v>
      </c>
      <c r="AM109" s="579"/>
      <c r="AN109" s="579">
        <f>IF(AND(VALUE($F$22)&gt;399,VALUE($F$22)&lt;500),0,IF(OR($F$11="NO",AN$1="HIDE",AN$4="ACTUAL"),0,AN106+AN117))</f>
        <v>0</v>
      </c>
      <c r="AO109" s="536"/>
      <c r="AP109" s="579">
        <f>IF(AND(VALUE($F$22)&gt;399,VALUE($F$22)&lt;500),0,IF(OR($F$11="NO",AP$1="HIDE",AP$4="ACTUAL"),0,AP106+AP117))</f>
        <v>0</v>
      </c>
      <c r="AS109" s="576"/>
    </row>
    <row r="110" spans="1:45" ht="15" customHeight="1">
      <c r="B110" s="271" t="str">
        <f>IF(OR($F$11="Yes",$AQ118&lt;&gt;0),"Show",IF($AQ118=0,"Hide","Show"))</f>
        <v>Show</v>
      </c>
      <c r="E110" s="300" t="s">
        <v>451</v>
      </c>
      <c r="F110" s="300"/>
      <c r="G110" s="300"/>
      <c r="H110" s="300"/>
      <c r="I110" s="277"/>
      <c r="P110" s="283"/>
      <c r="R110" s="580" t="s">
        <v>452</v>
      </c>
      <c r="AO110" s="562"/>
      <c r="AS110" s="576"/>
    </row>
    <row r="111" spans="1:45" ht="0.95" customHeight="1">
      <c r="B111" s="274" t="str">
        <f>B110</f>
        <v>Show</v>
      </c>
      <c r="P111" s="283"/>
      <c r="AO111" s="562"/>
      <c r="AS111" s="576"/>
    </row>
    <row r="112" spans="1:45" ht="15.6" hidden="1" customHeight="1">
      <c r="A112" s="271" t="s">
        <v>236</v>
      </c>
      <c r="B112" s="271" t="str">
        <f t="shared" ref="B112:B115" si="24">IF(AQ112=0,"Hide","Show")</f>
        <v>Hide</v>
      </c>
      <c r="K112" s="337" t="s">
        <v>453</v>
      </c>
      <c r="L112" s="275" t="str">
        <f t="shared" ref="L112:L115" si="25">$F$22</f>
        <v>201</v>
      </c>
      <c r="M112" s="275" t="str">
        <f t="shared" ref="M112:M115" si="26">$J$7</f>
        <v>10/1/2016..9/30/2017</v>
      </c>
      <c r="N112" s="271" t="str">
        <f t="shared" ref="N112:N115" si="27">$D$6</f>
        <v>HARMONY CDD</v>
      </c>
      <c r="O112" s="387" t="str">
        <f t="shared" ref="O112:O115" si="28">IF(K112="","399998",K112)</f>
        <v>381000</v>
      </c>
      <c r="P112" s="283" t="str">
        <f t="shared" ref="P112:P115" si="29">K112</f>
        <v>381000</v>
      </c>
      <c r="R112" s="552" t="s">
        <v>454</v>
      </c>
      <c r="T112" s="538">
        <v>0</v>
      </c>
      <c r="V112" s="538">
        <v>0</v>
      </c>
      <c r="W112" s="538"/>
      <c r="X112" s="538">
        <v>0</v>
      </c>
      <c r="Y112" s="538"/>
      <c r="Z112" s="538">
        <v>0</v>
      </c>
      <c r="AA112" s="538"/>
      <c r="AB112" s="538">
        <v>0</v>
      </c>
      <c r="AC112" s="538"/>
      <c r="AD112" s="538">
        <v>0</v>
      </c>
      <c r="AE112" s="538"/>
      <c r="AF112" s="538">
        <v>0</v>
      </c>
      <c r="AG112" s="538"/>
      <c r="AH112" s="538">
        <v>0</v>
      </c>
      <c r="AI112" s="538"/>
      <c r="AJ112" s="581">
        <v>0</v>
      </c>
      <c r="AK112" s="538"/>
      <c r="AL112" s="538">
        <f t="shared" ref="AL112:AL115" si="30">IF(ISERROR(AH112+AJ112),0,(AH112+AJ112))</f>
        <v>0</v>
      </c>
      <c r="AM112" s="538"/>
      <c r="AN112" s="538">
        <v>0</v>
      </c>
      <c r="AO112" s="582"/>
      <c r="AP112" s="581">
        <f t="shared" ref="AP112:AP115" si="31">IF($F$13="YES",AF112,AN112)</f>
        <v>0</v>
      </c>
      <c r="AQ112" s="534">
        <f t="shared" ref="AQ112:AQ115" si="32">ABS(SUMIF(V112:AP112,"&gt;0")-SUMIF(V112:AP112,"&lt;0"))</f>
        <v>0</v>
      </c>
      <c r="AS112" s="583"/>
    </row>
    <row r="113" spans="1:45" ht="15.6" hidden="1" customHeight="1">
      <c r="A113" s="271" t="s">
        <v>311</v>
      </c>
      <c r="B113" s="271" t="str">
        <f t="shared" si="24"/>
        <v>Hide</v>
      </c>
      <c r="K113" s="337" t="str">
        <f>"591000"</f>
        <v>591000</v>
      </c>
      <c r="L113" s="275" t="str">
        <f t="shared" si="25"/>
        <v>201</v>
      </c>
      <c r="M113" s="275" t="str">
        <f t="shared" si="26"/>
        <v>10/1/2016..9/30/2017</v>
      </c>
      <c r="N113" s="271" t="str">
        <f t="shared" si="27"/>
        <v>HARMONY CDD</v>
      </c>
      <c r="O113" s="387" t="str">
        <f t="shared" si="28"/>
        <v>591000</v>
      </c>
      <c r="P113" s="283" t="str">
        <f t="shared" si="29"/>
        <v>591000</v>
      </c>
      <c r="R113" s="552" t="s">
        <v>456</v>
      </c>
      <c r="T113" s="538">
        <v>0</v>
      </c>
      <c r="V113" s="538">
        <v>0</v>
      </c>
      <c r="W113" s="538"/>
      <c r="X113" s="538">
        <v>0</v>
      </c>
      <c r="Y113" s="538"/>
      <c r="Z113" s="538">
        <v>0</v>
      </c>
      <c r="AA113" s="538"/>
      <c r="AB113" s="538">
        <v>0</v>
      </c>
      <c r="AC113" s="538"/>
      <c r="AD113" s="538">
        <v>0</v>
      </c>
      <c r="AE113" s="538"/>
      <c r="AF113" s="538">
        <v>0</v>
      </c>
      <c r="AG113" s="538"/>
      <c r="AH113" s="538">
        <v>0</v>
      </c>
      <c r="AI113" s="538"/>
      <c r="AJ113" s="581">
        <v>0</v>
      </c>
      <c r="AK113" s="538"/>
      <c r="AL113" s="538">
        <f t="shared" si="30"/>
        <v>0</v>
      </c>
      <c r="AM113" s="538"/>
      <c r="AN113" s="538">
        <v>0</v>
      </c>
      <c r="AO113" s="582"/>
      <c r="AP113" s="581">
        <f t="shared" si="31"/>
        <v>0</v>
      </c>
      <c r="AQ113" s="534">
        <f t="shared" si="32"/>
        <v>0</v>
      </c>
      <c r="AS113" s="583"/>
    </row>
    <row r="114" spans="1:45" ht="15.6" hidden="1" customHeight="1">
      <c r="A114" s="271" t="s">
        <v>311</v>
      </c>
      <c r="B114" s="271" t="str">
        <f t="shared" si="24"/>
        <v>Hide</v>
      </c>
      <c r="K114" s="337" t="str">
        <f>"591100"</f>
        <v>591100</v>
      </c>
      <c r="L114" s="275" t="str">
        <f t="shared" si="25"/>
        <v>201</v>
      </c>
      <c r="M114" s="275" t="str">
        <f t="shared" si="26"/>
        <v>10/1/2016..9/30/2017</v>
      </c>
      <c r="N114" s="271" t="str">
        <f t="shared" si="27"/>
        <v>HARMONY CDD</v>
      </c>
      <c r="O114" s="387" t="str">
        <f t="shared" si="28"/>
        <v>591100</v>
      </c>
      <c r="P114" s="283" t="str">
        <f t="shared" si="29"/>
        <v>591100</v>
      </c>
      <c r="R114" s="552" t="s">
        <v>490</v>
      </c>
      <c r="T114" s="538">
        <v>0</v>
      </c>
      <c r="V114" s="538">
        <v>0</v>
      </c>
      <c r="W114" s="538"/>
      <c r="X114" s="538">
        <v>0</v>
      </c>
      <c r="Y114" s="538"/>
      <c r="Z114" s="538">
        <v>0</v>
      </c>
      <c r="AA114" s="538"/>
      <c r="AB114" s="538">
        <v>0</v>
      </c>
      <c r="AC114" s="538"/>
      <c r="AD114" s="538">
        <v>0</v>
      </c>
      <c r="AE114" s="538"/>
      <c r="AF114" s="538">
        <v>0</v>
      </c>
      <c r="AG114" s="538"/>
      <c r="AH114" s="538">
        <v>0</v>
      </c>
      <c r="AI114" s="538"/>
      <c r="AJ114" s="581">
        <v>0</v>
      </c>
      <c r="AK114" s="538"/>
      <c r="AL114" s="538">
        <f t="shared" si="30"/>
        <v>0</v>
      </c>
      <c r="AM114" s="538"/>
      <c r="AN114" s="538">
        <v>0</v>
      </c>
      <c r="AO114" s="582"/>
      <c r="AP114" s="581">
        <f t="shared" si="31"/>
        <v>0</v>
      </c>
      <c r="AQ114" s="534">
        <f t="shared" si="32"/>
        <v>0</v>
      </c>
      <c r="AS114" s="583"/>
    </row>
    <row r="115" spans="1:45" ht="15.6" hidden="1" customHeight="1">
      <c r="A115" s="271" t="s">
        <v>311</v>
      </c>
      <c r="B115" s="271" t="str">
        <f t="shared" si="24"/>
        <v>Hide</v>
      </c>
      <c r="K115" s="337" t="str">
        <f>"595000"</f>
        <v>595000</v>
      </c>
      <c r="L115" s="275" t="str">
        <f t="shared" si="25"/>
        <v>201</v>
      </c>
      <c r="M115" s="275" t="str">
        <f t="shared" si="26"/>
        <v>10/1/2016..9/30/2017</v>
      </c>
      <c r="N115" s="271" t="str">
        <f t="shared" si="27"/>
        <v>HARMONY CDD</v>
      </c>
      <c r="O115" s="387" t="str">
        <f t="shared" si="28"/>
        <v>595000</v>
      </c>
      <c r="P115" s="283" t="str">
        <f t="shared" si="29"/>
        <v>595000</v>
      </c>
      <c r="R115" s="552" t="s">
        <v>491</v>
      </c>
      <c r="T115" s="538">
        <v>0</v>
      </c>
      <c r="V115" s="538">
        <v>0</v>
      </c>
      <c r="W115" s="538"/>
      <c r="X115" s="538">
        <v>0</v>
      </c>
      <c r="Y115" s="538"/>
      <c r="Z115" s="538">
        <v>0</v>
      </c>
      <c r="AA115" s="538"/>
      <c r="AB115" s="538">
        <v>0</v>
      </c>
      <c r="AC115" s="538"/>
      <c r="AD115" s="538">
        <v>0</v>
      </c>
      <c r="AE115" s="538"/>
      <c r="AF115" s="538">
        <v>0</v>
      </c>
      <c r="AG115" s="538"/>
      <c r="AH115" s="538">
        <v>0</v>
      </c>
      <c r="AI115" s="538"/>
      <c r="AJ115" s="581">
        <v>0</v>
      </c>
      <c r="AK115" s="538"/>
      <c r="AL115" s="538">
        <f t="shared" si="30"/>
        <v>0</v>
      </c>
      <c r="AM115" s="538"/>
      <c r="AN115" s="538">
        <v>0</v>
      </c>
      <c r="AO115" s="582"/>
      <c r="AP115" s="581">
        <f t="shared" si="31"/>
        <v>0</v>
      </c>
      <c r="AQ115" s="534">
        <f t="shared" si="32"/>
        <v>0</v>
      </c>
      <c r="AS115" s="583"/>
    </row>
    <row r="116" spans="1:45" ht="7.5" hidden="1" customHeight="1">
      <c r="B116" s="271" t="s">
        <v>31</v>
      </c>
      <c r="P116" s="283"/>
      <c r="R116" s="552"/>
      <c r="T116" s="538"/>
      <c r="V116" s="538"/>
      <c r="W116" s="538"/>
      <c r="X116" s="538"/>
      <c r="Y116" s="538"/>
      <c r="Z116" s="538"/>
      <c r="AA116" s="538"/>
      <c r="AB116" s="538"/>
      <c r="AC116" s="538"/>
      <c r="AD116" s="538"/>
      <c r="AE116" s="538"/>
      <c r="AF116" s="538"/>
      <c r="AG116" s="538"/>
      <c r="AH116" s="538"/>
      <c r="AI116" s="538"/>
      <c r="AJ116" s="538"/>
      <c r="AK116" s="538"/>
      <c r="AL116" s="538"/>
      <c r="AM116" s="538"/>
      <c r="AN116" s="538"/>
      <c r="AO116" s="582"/>
      <c r="AP116" s="538"/>
      <c r="AQ116" s="534"/>
      <c r="AS116" s="576"/>
    </row>
    <row r="117" spans="1:45" ht="15" hidden="1" customHeight="1">
      <c r="B117" s="271" t="s">
        <v>31</v>
      </c>
      <c r="P117" s="283"/>
      <c r="R117" s="436"/>
      <c r="S117" s="436"/>
      <c r="T117" s="578">
        <f>SUM(T111:T116)</f>
        <v>0</v>
      </c>
      <c r="U117" s="436"/>
      <c r="V117" s="578">
        <f>SUM(V111:V116)</f>
        <v>0</v>
      </c>
      <c r="W117" s="436"/>
      <c r="X117" s="578">
        <f>SUM(X111:X116)</f>
        <v>0</v>
      </c>
      <c r="Y117" s="436"/>
      <c r="Z117" s="578">
        <f>SUM(Z111:Z116)</f>
        <v>0</v>
      </c>
      <c r="AA117" s="436"/>
      <c r="AB117" s="578">
        <f>SUM(AB111:AB116)</f>
        <v>0</v>
      </c>
      <c r="AC117" s="436"/>
      <c r="AD117" s="578">
        <f>SUM(AD111:AD116)</f>
        <v>0</v>
      </c>
      <c r="AE117" s="436"/>
      <c r="AF117" s="578">
        <f>SUM(AF111:AF116)</f>
        <v>0</v>
      </c>
      <c r="AG117" s="436"/>
      <c r="AH117" s="578">
        <f>SUM(AH111:AH116)</f>
        <v>0</v>
      </c>
      <c r="AI117" s="436"/>
      <c r="AJ117" s="578">
        <f>SUM(AJ111:AJ116)</f>
        <v>0</v>
      </c>
      <c r="AK117" s="436"/>
      <c r="AL117" s="578">
        <f>SUM(AL111:AL116)</f>
        <v>0</v>
      </c>
      <c r="AM117" s="436"/>
      <c r="AN117" s="578">
        <f>SUM(AN111:AN116)</f>
        <v>0</v>
      </c>
      <c r="AO117" s="2"/>
      <c r="AP117" s="578">
        <f>SUM(AP111:AP116)</f>
        <v>0</v>
      </c>
      <c r="AQ117" s="534">
        <f t="shared" ref="AQ117:AQ118" si="33">ABS(SUMIF(V117:AP117,"&gt;0")-SUMIF(V117:AP117,"&lt;0"))</f>
        <v>0</v>
      </c>
      <c r="AS117" s="563"/>
    </row>
    <row r="118" spans="1:45" ht="15.6" customHeight="1">
      <c r="A118" s="271" t="s">
        <v>236</v>
      </c>
      <c r="B118" s="271" t="str">
        <f>IF(OR($F$11="Yes",$AQ118&lt;&gt;0),"Show",IF($AQ118=0,"Hide","Show"))</f>
        <v>Show</v>
      </c>
      <c r="K118" s="337">
        <v>590550</v>
      </c>
      <c r="L118" s="275" t="str">
        <f>$F$22</f>
        <v>201</v>
      </c>
      <c r="M118" s="275" t="str">
        <f>$J$7</f>
        <v>10/1/2016..9/30/2017</v>
      </c>
      <c r="N118" s="271" t="str">
        <f>$D$6</f>
        <v>HARMONY CDD</v>
      </c>
      <c r="O118" s="280">
        <f>K118</f>
        <v>590550</v>
      </c>
      <c r="P118" s="283">
        <v>599999</v>
      </c>
      <c r="R118" s="584" t="s">
        <v>457</v>
      </c>
      <c r="T118" s="571">
        <f>IF(OR(T$4="ACTUAL",T$1="hide"),0,T$109)</f>
        <v>0</v>
      </c>
      <c r="V118" s="571">
        <f>IF(OR(V$4="ACTUAL",V$1="hide"),0,V$109)</f>
        <v>0</v>
      </c>
      <c r="X118" s="571">
        <f>IF(OR(X$4="ACTUAL",X$1="hide"),0,X$109)</f>
        <v>0</v>
      </c>
      <c r="Z118" s="571">
        <f>IF(OR(Z$4="ACTUAL",Z$1="hide"),0,Z$109)</f>
        <v>0</v>
      </c>
      <c r="AB118" s="571">
        <f>IF(OR(AB$4="ACTUAL",AB$1="hide"),0,AB$109)</f>
        <v>0</v>
      </c>
      <c r="AD118" s="571">
        <f>IF(OR(AD$4="ACTUAL",AD$1="hide"),0,AD$109)</f>
        <v>0</v>
      </c>
      <c r="AF118" s="571">
        <f>IF(OR(AF$4="ACTUAL",AF$1="hide"),0,AF$109)</f>
        <v>0</v>
      </c>
      <c r="AH118" s="571">
        <f>IF(OR(AH$4="ACTUAL",AH$1="hide"),0,AH$109)</f>
        <v>0</v>
      </c>
      <c r="AJ118" s="572">
        <f>IF(OR(AJ$4="ACTUAL",AJ$1="hide"),0,AJ$109)</f>
        <v>0</v>
      </c>
      <c r="AL118" s="571">
        <f>IF(ISERROR(AH118+AJ118),0,(AH118+AJ118))</f>
        <v>0</v>
      </c>
      <c r="AN118" s="571">
        <f>IF(OR(AN$4="ACTUAL",AN$1="hide"),0,AN$109)</f>
        <v>0</v>
      </c>
      <c r="AO118" s="571"/>
      <c r="AP118" s="572">
        <f>IF(OR(AP$4="ACTUAL",AP$1="hide"),0,AP$109)</f>
        <v>0</v>
      </c>
      <c r="AQ118" s="534">
        <f t="shared" si="33"/>
        <v>0</v>
      </c>
      <c r="AS118" s="585"/>
    </row>
    <row r="119" spans="1:45" ht="3.95" customHeight="1">
      <c r="B119" s="274" t="str">
        <f>B120</f>
        <v>Show</v>
      </c>
      <c r="P119" s="283"/>
      <c r="AO119" s="562"/>
      <c r="AS119" s="563"/>
    </row>
    <row r="120" spans="1:45" ht="15" customHeight="1">
      <c r="B120" s="271" t="str">
        <f>IF(OR($F$11="Yes",$AQ120&lt;&gt;0),"Show",IF($AQ120=0,"Hide","Show"))</f>
        <v>Show</v>
      </c>
      <c r="P120" s="283"/>
      <c r="R120" s="586" t="s">
        <v>458</v>
      </c>
      <c r="S120" s="575"/>
      <c r="T120" s="547">
        <f>SUM(T117:T118)</f>
        <v>0</v>
      </c>
      <c r="U120" s="575"/>
      <c r="V120" s="547">
        <f>SUM(V117:V118)</f>
        <v>0</v>
      </c>
      <c r="W120" s="575"/>
      <c r="X120" s="547">
        <f>SUM(X117:X118)</f>
        <v>0</v>
      </c>
      <c r="Y120" s="575"/>
      <c r="Z120" s="547">
        <f>SUM(Z117:Z118)</f>
        <v>0</v>
      </c>
      <c r="AA120" s="575"/>
      <c r="AB120" s="547">
        <f>SUM(AB117:AB118)</f>
        <v>0</v>
      </c>
      <c r="AC120" s="575"/>
      <c r="AD120" s="547">
        <f>SUM(AD117:AD118)</f>
        <v>0</v>
      </c>
      <c r="AE120" s="575"/>
      <c r="AF120" s="547">
        <f>SUM(AF117:AF118)</f>
        <v>0</v>
      </c>
      <c r="AG120" s="575"/>
      <c r="AH120" s="547">
        <f>SUM(AH117:AH118)</f>
        <v>0</v>
      </c>
      <c r="AI120" s="575"/>
      <c r="AJ120" s="547">
        <f>SUM(AJ117:AJ118)</f>
        <v>0</v>
      </c>
      <c r="AK120" s="575"/>
      <c r="AL120" s="547">
        <f>SUM(AL117:AL118)</f>
        <v>0</v>
      </c>
      <c r="AM120" s="575"/>
      <c r="AN120" s="547">
        <f>SUM(AN117:AN118)</f>
        <v>0</v>
      </c>
      <c r="AO120" s="547"/>
      <c r="AP120" s="550">
        <f>SUM(AP117:AP118)</f>
        <v>0</v>
      </c>
      <c r="AQ120" s="534">
        <f>ABS(SUMIF(V120:AP120,"&gt;0")-SUMIF(V120:AP120,"&lt;0"))</f>
        <v>0</v>
      </c>
      <c r="AS120" s="576"/>
    </row>
    <row r="121" spans="1:45" ht="9.9499999999999993" customHeight="1">
      <c r="B121" s="271" t="str">
        <f>B120</f>
        <v>Show</v>
      </c>
      <c r="P121" s="283"/>
      <c r="AO121" s="562"/>
      <c r="AS121" s="576"/>
    </row>
    <row r="122" spans="1:45" ht="15" customHeight="1">
      <c r="B122" s="271" t="s">
        <v>62</v>
      </c>
      <c r="P122" s="283"/>
      <c r="R122" s="272" t="str">
        <f>IF(AND($F$22&gt;"399",$F$22&lt;"500"),"Change in net assets","Net change in fund balance")</f>
        <v>Net change in fund balance</v>
      </c>
      <c r="T122" s="577">
        <f>IF(T$4="ACTUAL",SUM(T120+T106),SUM(T120+T106+(IF(ABS(T109)&lt;0.49,0,-T109))))</f>
        <v>0</v>
      </c>
      <c r="V122" s="577">
        <f>IF(V$4="ACTUAL",SUM(V120+V106),SUM(V120+V106+(IF(ABS(V109)&lt;0.49,0,-V109))))</f>
        <v>0</v>
      </c>
      <c r="X122" s="577">
        <f>IF(X$4="ACTUAL",SUM(X120+X106),SUM(X120+X106+(IF(ABS(X109)&lt;0.49,0,-X109))))</f>
        <v>0</v>
      </c>
      <c r="Z122" s="577">
        <f>IF(Z$4="ACTUAL",SUM(Z120+Z106),SUM(Z120+Z106+(IF(ABS(Z109)&lt;0.49,0,-Z109))))</f>
        <v>0</v>
      </c>
      <c r="AB122" s="577">
        <f>IF(AB$4="ACTUAL",SUM(AB120+AB106),SUM(AB120+AB106+(IF(ABS(AB109)&lt;0.49,0,-AB109))))</f>
        <v>0</v>
      </c>
      <c r="AD122" s="577">
        <f>IF(AD$4="ACTUAL",SUM(AD120+AD106),SUM(AD120+AD106+(IF(ABS(AD109)&lt;0.49,0,-AD109))))</f>
        <v>0</v>
      </c>
      <c r="AF122" s="577">
        <f>IF(AF$4="ACTUAL",SUM(AF120+AF106),SUM(AF120+AF106+(IF(ABS(AF109)&lt;0.49,0,-AF109))))</f>
        <v>0</v>
      </c>
      <c r="AH122" s="577">
        <f>IF(AH$4="ACTUAL",SUM(AH120+AH106),SUM(AH120+AH106+(IF(ABS(AH109)&lt;0.49,0,-AH109))))</f>
        <v>0</v>
      </c>
      <c r="AJ122" s="577">
        <f>IF(AJ$4="ACTUAL",SUM(AJ120+AJ106),SUM(AJ120+AJ106+(IF(ABS(AJ109)&lt;0.49,0,-AJ109))))</f>
        <v>0</v>
      </c>
      <c r="AL122" s="577">
        <f>IF(AL$4="ACTUAL",SUM(AL120+AL106),SUM(AL120+AL106+(IF(ABS(AL109)&lt;0.49,0,-AL109))))</f>
        <v>0</v>
      </c>
      <c r="AN122" s="577">
        <f>IF(AN$4="ACTUAL",SUM(AN120+AN106),SUM(AN120+AN106+(IF(ABS(AN109)&lt;0.49,0,-AN109))))</f>
        <v>0</v>
      </c>
      <c r="AO122" s="571"/>
      <c r="AP122" s="577">
        <f>IF(AP$4="ACTUAL",SUM(AP120+AP106),SUM(AP120+AP106+(IF(ABS(AP109)&lt;0.49,0,-AP109))))</f>
        <v>0</v>
      </c>
      <c r="AQ122" s="534">
        <f>ABS(SUMIF(V122:AP122,"&gt;0")-SUMIF(V122:AP122,"&lt;0"))</f>
        <v>0</v>
      </c>
      <c r="AS122" s="576"/>
    </row>
    <row r="123" spans="1:45" ht="9.9499999999999993" customHeight="1">
      <c r="B123" s="271" t="s">
        <v>62</v>
      </c>
      <c r="P123" s="283"/>
      <c r="AO123" s="562"/>
      <c r="AS123" s="576"/>
    </row>
    <row r="124" spans="1:45" ht="15" hidden="1" customHeight="1">
      <c r="B124" s="271" t="s">
        <v>31</v>
      </c>
      <c r="O124" s="466" t="s">
        <v>459</v>
      </c>
      <c r="P124" s="467">
        <v>391000</v>
      </c>
      <c r="R124" s="587" t="s">
        <v>460</v>
      </c>
      <c r="T124" s="538">
        <v>0</v>
      </c>
      <c r="V124" s="538">
        <v>0</v>
      </c>
      <c r="W124" s="538"/>
      <c r="X124" s="538">
        <v>0</v>
      </c>
      <c r="Y124" s="538"/>
      <c r="Z124" s="538">
        <v>0</v>
      </c>
      <c r="AA124" s="538"/>
      <c r="AB124" s="538">
        <v>0</v>
      </c>
      <c r="AC124" s="538"/>
      <c r="AD124" s="538">
        <v>0</v>
      </c>
      <c r="AE124" s="538"/>
      <c r="AF124" s="538">
        <v>0</v>
      </c>
      <c r="AG124" s="538"/>
      <c r="AH124" s="538">
        <v>0</v>
      </c>
      <c r="AI124" s="538"/>
      <c r="AJ124" s="538">
        <v>0</v>
      </c>
      <c r="AK124" s="538"/>
      <c r="AL124" s="538">
        <f>AH124+AJ124</f>
        <v>0</v>
      </c>
      <c r="AM124" s="538"/>
      <c r="AN124" s="538">
        <v>0</v>
      </c>
      <c r="AO124" s="582"/>
      <c r="AP124" s="538">
        <v>0</v>
      </c>
      <c r="AQ124" s="534">
        <f t="shared" ref="AQ124:AQ127" si="34">ABS(SUMIF(V124:AP124,"&gt;0")-SUMIF(V124:AP124,"&lt;0"))</f>
        <v>0</v>
      </c>
      <c r="AS124" s="576"/>
    </row>
    <row r="125" spans="1:45" ht="15" hidden="1" customHeight="1">
      <c r="B125" s="271" t="s">
        <v>31</v>
      </c>
      <c r="O125" s="297"/>
      <c r="P125" s="467"/>
      <c r="R125" s="588" t="s">
        <v>461</v>
      </c>
      <c r="S125" s="436"/>
      <c r="T125" s="589">
        <v>0</v>
      </c>
      <c r="U125" s="436"/>
      <c r="V125" s="589">
        <v>0</v>
      </c>
      <c r="W125" s="590"/>
      <c r="X125" s="589">
        <v>0</v>
      </c>
      <c r="Y125" s="590"/>
      <c r="Z125" s="589">
        <v>0</v>
      </c>
      <c r="AA125" s="590"/>
      <c r="AB125" s="589">
        <v>0</v>
      </c>
      <c r="AC125" s="436"/>
      <c r="AD125" s="588"/>
      <c r="AE125" s="436"/>
      <c r="AF125" s="591">
        <f>AH125</f>
        <v>0</v>
      </c>
      <c r="AG125" s="436"/>
      <c r="AH125" s="591">
        <f>$Z$158</f>
        <v>0</v>
      </c>
      <c r="AI125" s="436"/>
      <c r="AJ125" s="589">
        <v>0</v>
      </c>
      <c r="AK125" s="436"/>
      <c r="AL125" s="588"/>
      <c r="AM125" s="436"/>
      <c r="AN125" s="589">
        <v>0</v>
      </c>
      <c r="AO125" s="553"/>
      <c r="AP125" s="589">
        <v>0</v>
      </c>
      <c r="AQ125" s="534">
        <f t="shared" si="34"/>
        <v>0</v>
      </c>
      <c r="AS125" s="576"/>
    </row>
    <row r="126" spans="1:45" ht="15" hidden="1" customHeight="1">
      <c r="B126" s="271" t="s">
        <v>31</v>
      </c>
      <c r="O126" s="297"/>
      <c r="P126" s="467"/>
      <c r="R126" s="592" t="s">
        <v>462</v>
      </c>
      <c r="S126" s="578"/>
      <c r="T126" s="578">
        <f>ABS(T54)+ABS(T103)+ABS(T120)</f>
        <v>0</v>
      </c>
      <c r="U126" s="578"/>
      <c r="V126" s="578">
        <f>ABS(V54)+ABS(V103)+ABS(V120)</f>
        <v>0</v>
      </c>
      <c r="W126" s="578"/>
      <c r="X126" s="578">
        <f>ABS(X54)+ABS(X103)+ABS(X120)</f>
        <v>0</v>
      </c>
      <c r="Y126" s="578"/>
      <c r="Z126" s="578">
        <f>ABS(Z54)+ABS(Z103)+ABS(Z120)</f>
        <v>0</v>
      </c>
      <c r="AA126" s="578"/>
      <c r="AB126" s="578">
        <f>ABS(AB54)+ABS(AB103)+ABS(AB120)</f>
        <v>0</v>
      </c>
      <c r="AC126" s="578"/>
      <c r="AD126" s="578">
        <f>ABS(AD54)+ABS(AD103)+ABS(AD120)</f>
        <v>0</v>
      </c>
      <c r="AE126" s="578"/>
      <c r="AF126" s="578">
        <f>ABS(AF54)+ABS(AF103)+ABS(AF120)</f>
        <v>0</v>
      </c>
      <c r="AG126" s="578"/>
      <c r="AH126" s="578">
        <f>ABS(AH54)+ABS(AH103)+ABS(AH120)</f>
        <v>0</v>
      </c>
      <c r="AI126" s="578"/>
      <c r="AJ126" s="578">
        <v>0</v>
      </c>
      <c r="AK126" s="578"/>
      <c r="AL126" s="578">
        <f t="shared" ref="AL126:AL127" si="35">AH126+AJ126</f>
        <v>0</v>
      </c>
      <c r="AM126" s="578"/>
      <c r="AN126" s="578">
        <v>0</v>
      </c>
      <c r="AO126" s="2"/>
      <c r="AP126" s="578">
        <v>0</v>
      </c>
      <c r="AQ126" s="534">
        <f t="shared" si="34"/>
        <v>0</v>
      </c>
      <c r="AS126" s="576"/>
    </row>
    <row r="127" spans="1:45" ht="15" customHeight="1">
      <c r="B127" s="271" t="s">
        <v>62</v>
      </c>
      <c r="O127" s="466" t="s">
        <v>459</v>
      </c>
      <c r="P127" s="467">
        <v>391000</v>
      </c>
      <c r="R127" s="314" t="str">
        <f>IF(AND($F$22&gt;"399",$F$22&lt;"500"),"TOTAL NET ASSETS, BEGINNING","FUND BALANCE, BEGINNING")</f>
        <v>FUND BALANCE, BEGINNING</v>
      </c>
      <c r="T127" s="538">
        <v>0</v>
      </c>
      <c r="V127" s="538">
        <f>IF(V$1="Show",V129-V124-V122,0)</f>
        <v>0</v>
      </c>
      <c r="W127" s="538"/>
      <c r="X127" s="538">
        <f>IF(X$1="Show",X129-X124-X122,0)</f>
        <v>0</v>
      </c>
      <c r="Y127" s="538"/>
      <c r="Z127" s="538">
        <f>IF(Z$1="Show",Z129-Z124-Z122,0)</f>
        <v>0</v>
      </c>
      <c r="AA127" s="538"/>
      <c r="AB127" s="538">
        <f>IF(AB$1="Show",AB129-AB124-AB122,0)</f>
        <v>0</v>
      </c>
      <c r="AC127" s="538"/>
      <c r="AD127" s="538">
        <v>0</v>
      </c>
      <c r="AE127" s="538"/>
      <c r="AF127" s="538">
        <f>IF(OR($O127="",AF$1="HIDE"),0,IF(AND(AF$4="BUDGET",AF$126=0),0,AH127))</f>
        <v>0</v>
      </c>
      <c r="AG127" s="538"/>
      <c r="AH127" s="538">
        <v>0</v>
      </c>
      <c r="AI127" s="538"/>
      <c r="AJ127" s="538">
        <v>0</v>
      </c>
      <c r="AK127" s="538"/>
      <c r="AL127" s="538">
        <f t="shared" si="35"/>
        <v>0</v>
      </c>
      <c r="AM127" s="538"/>
      <c r="AN127" s="538">
        <v>0</v>
      </c>
      <c r="AO127" s="582"/>
      <c r="AP127" s="538">
        <f>AL129</f>
        <v>0</v>
      </c>
      <c r="AQ127" s="534">
        <f t="shared" si="34"/>
        <v>0</v>
      </c>
      <c r="AS127" s="576"/>
    </row>
    <row r="128" spans="1:45" ht="9.9499999999999993" customHeight="1">
      <c r="B128" s="271" t="s">
        <v>62</v>
      </c>
      <c r="P128" s="283"/>
      <c r="AO128" s="562"/>
      <c r="AS128" s="576"/>
    </row>
    <row r="129" spans="1:45" ht="15" customHeight="1">
      <c r="B129" s="271" t="s">
        <v>62</v>
      </c>
      <c r="P129" s="283"/>
      <c r="R129" s="593" t="str">
        <f>IF(AND($F$22&gt;"399",$F$22&lt;"500"),"TOTAL NET ASSETS, ENDING","FUND BALANCE, ENDING")</f>
        <v>FUND BALANCE, ENDING</v>
      </c>
      <c r="T129" s="594">
        <f>SUM(T122+T127)</f>
        <v>0</v>
      </c>
      <c r="U129" s="314"/>
      <c r="V129" s="594">
        <f>IF(V$1="Hide",0,X127)</f>
        <v>0</v>
      </c>
      <c r="W129" s="314"/>
      <c r="X129" s="594">
        <f>IF(X$1="Hide",0,Z127)</f>
        <v>0</v>
      </c>
      <c r="Y129" s="314"/>
      <c r="Z129" s="594">
        <f>IF(Z$1="Hide",0,AB127)</f>
        <v>0</v>
      </c>
      <c r="AA129" s="314"/>
      <c r="AB129" s="594">
        <f>IF(AB$1="Hide",0,AF127)</f>
        <v>0</v>
      </c>
      <c r="AC129" s="314"/>
      <c r="AD129" s="594">
        <f>SUM(AD122+AD127)</f>
        <v>0</v>
      </c>
      <c r="AE129" s="314"/>
      <c r="AF129" s="594">
        <f>SUM(AF122+AF127)</f>
        <v>0</v>
      </c>
      <c r="AG129" s="314"/>
      <c r="AH129" s="594">
        <f>SUM(AH122+AH127)</f>
        <v>0</v>
      </c>
      <c r="AI129" s="314"/>
      <c r="AJ129" s="594">
        <f>SUM(AJ122+AJ127)</f>
        <v>0</v>
      </c>
      <c r="AK129" s="314"/>
      <c r="AL129" s="594">
        <f>SUM(AL122+AL127)</f>
        <v>0</v>
      </c>
      <c r="AM129" s="314"/>
      <c r="AN129" s="594">
        <f>SUM(AN122+AN127)</f>
        <v>0</v>
      </c>
      <c r="AO129" s="595"/>
      <c r="AP129" s="594">
        <f>SUM(AP122+AP127)</f>
        <v>0</v>
      </c>
      <c r="AQ129" s="534">
        <f>ABS(SUMIF(V129:AP129,"&gt;0")-SUMIF(V129:AP129,"&lt;0"))</f>
        <v>0</v>
      </c>
      <c r="AS129" s="576"/>
    </row>
    <row r="130" spans="1:45" ht="15" hidden="1" customHeight="1">
      <c r="B130" s="271" t="str">
        <f t="shared" ref="B130:B141" si="36">B131</f>
        <v>Hide</v>
      </c>
      <c r="P130" s="283"/>
      <c r="AO130" s="562"/>
      <c r="AS130" s="576"/>
    </row>
    <row r="131" spans="1:45" ht="15" hidden="1" customHeight="1">
      <c r="B131" s="271" t="str">
        <f t="shared" si="36"/>
        <v>Hide</v>
      </c>
      <c r="P131" s="283"/>
      <c r="AO131" s="562"/>
      <c r="AQ131" s="534">
        <f>SUM(AQ34:AQ129)</f>
        <v>0</v>
      </c>
      <c r="AS131" s="576"/>
    </row>
    <row r="132" spans="1:45" hidden="1">
      <c r="B132" s="271" t="str">
        <f t="shared" si="36"/>
        <v>Hide</v>
      </c>
      <c r="P132" s="283"/>
      <c r="AO132" s="562"/>
      <c r="AS132" s="576"/>
    </row>
    <row r="133" spans="1:45" hidden="1">
      <c r="B133" s="271" t="str">
        <f t="shared" si="36"/>
        <v>Hide</v>
      </c>
      <c r="P133" s="283"/>
      <c r="T133" s="596" t="s">
        <v>301</v>
      </c>
      <c r="V133" s="271" t="str">
        <f>IF($V31="","",$V31)</f>
        <v/>
      </c>
      <c r="X133" s="271" t="str">
        <f>IF($V31="","",$V31)</f>
        <v/>
      </c>
      <c r="Z133" s="271" t="str">
        <f>IF($V31="","",$V31)</f>
        <v/>
      </c>
      <c r="AB133" s="596" t="str">
        <f t="shared" ref="AB133:AB135" si="37">IF(AB31="","",AB31)</f>
        <v/>
      </c>
      <c r="AD133" s="596" t="str">
        <f t="shared" ref="AD133:AD135" si="38">IF(AD31="","",AD31)</f>
        <v>ADOPTED</v>
      </c>
      <c r="AF133" s="596" t="str">
        <f t="shared" ref="AF133:AF135" si="39">IF(AF31="","",AF31)</f>
        <v>ADOPTED</v>
      </c>
      <c r="AH133" s="596" t="str">
        <f t="shared" ref="AH133:AH135" si="40">IF(AH31="","",AH31)</f>
        <v xml:space="preserve">ACTUAL </v>
      </c>
      <c r="AJ133" s="596" t="str">
        <f t="shared" ref="AJ133:AJ135" si="41">IF(AJ31="","",AJ31)</f>
        <v>PROJECTED</v>
      </c>
      <c r="AL133" s="596" t="str">
        <f t="shared" ref="AL133:AL135" si="42">IF(AL31="","",AL31)</f>
        <v>TOTAL</v>
      </c>
      <c r="AN133" s="596" t="str">
        <f t="shared" ref="AN133:AN135" si="43">IF(AN31="","",AN31)</f>
        <v>NAVIGATOR</v>
      </c>
      <c r="AO133" s="562"/>
      <c r="AP133" s="596" t="str">
        <f t="shared" ref="AP133:AP135" si="44">IF(AP31="","",AP31)</f>
        <v>ANNUAL</v>
      </c>
      <c r="AS133" s="576"/>
    </row>
    <row r="134" spans="1:45" hidden="1">
      <c r="B134" s="271" t="str">
        <f t="shared" si="36"/>
        <v>Hide</v>
      </c>
      <c r="P134" s="283"/>
      <c r="T134" s="596" t="str">
        <f t="shared" ref="T134:T135" si="45">IF(T32="","",T32)</f>
        <v xml:space="preserve">ACTUAL </v>
      </c>
      <c r="V134" s="596" t="str">
        <f t="shared" ref="V134:V135" si="46">IF(V32="","",V32)</f>
        <v xml:space="preserve">ACTUAL </v>
      </c>
      <c r="W134" s="596"/>
      <c r="X134" s="596" t="str">
        <f t="shared" ref="X134:X135" si="47">IF(X32="","",X32)</f>
        <v xml:space="preserve">ACTUAL </v>
      </c>
      <c r="Y134" s="596"/>
      <c r="Z134" s="596" t="str">
        <f t="shared" ref="Z134:Z135" si="48">IF(Z32="","",Z32)</f>
        <v xml:space="preserve">ACTUAL </v>
      </c>
      <c r="AA134" s="596"/>
      <c r="AB134" s="596" t="str">
        <f t="shared" si="37"/>
        <v xml:space="preserve">ACTUAL </v>
      </c>
      <c r="AC134" s="596"/>
      <c r="AD134" s="596" t="str">
        <f t="shared" si="38"/>
        <v xml:space="preserve">BUDGET </v>
      </c>
      <c r="AE134" s="596"/>
      <c r="AF134" s="596" t="str">
        <f t="shared" si="39"/>
        <v xml:space="preserve">BUDGET </v>
      </c>
      <c r="AG134" s="596"/>
      <c r="AH134" s="596" t="str">
        <f t="shared" si="40"/>
        <v>THRU</v>
      </c>
      <c r="AI134" s="596"/>
      <c r="AJ134" s="596" t="str">
        <f t="shared" si="41"/>
        <v>June thru</v>
      </c>
      <c r="AK134" s="596"/>
      <c r="AL134" s="596" t="str">
        <f t="shared" si="42"/>
        <v>PROJECTED</v>
      </c>
      <c r="AM134" s="596"/>
      <c r="AN134" s="596" t="str">
        <f t="shared" si="43"/>
        <v>BALANCE</v>
      </c>
      <c r="AO134" s="596"/>
      <c r="AP134" s="596" t="str">
        <f t="shared" si="44"/>
        <v xml:space="preserve">BUDGET </v>
      </c>
      <c r="AS134" s="576"/>
    </row>
    <row r="135" spans="1:45" hidden="1">
      <c r="B135" s="271" t="str">
        <f t="shared" si="36"/>
        <v>Hide</v>
      </c>
      <c r="P135" s="283"/>
      <c r="T135" s="597" t="str">
        <f t="shared" si="45"/>
        <v>TEST</v>
      </c>
      <c r="V135" s="597" t="str">
        <f t="shared" si="46"/>
        <v>FY 2012</v>
      </c>
      <c r="W135" s="597"/>
      <c r="X135" s="597" t="str">
        <f t="shared" si="47"/>
        <v>FY 2013</v>
      </c>
      <c r="Y135" s="597"/>
      <c r="Z135" s="597" t="str">
        <f t="shared" si="48"/>
        <v>FY 2014</v>
      </c>
      <c r="AA135" s="597"/>
      <c r="AB135" s="597" t="str">
        <f t="shared" si="37"/>
        <v>FY - 2015</v>
      </c>
      <c r="AC135" s="597"/>
      <c r="AD135" s="597" t="str">
        <f t="shared" si="38"/>
        <v>FY - 2015</v>
      </c>
      <c r="AE135" s="597"/>
      <c r="AF135" s="597" t="str">
        <f t="shared" si="39"/>
        <v>FY - 2016</v>
      </c>
      <c r="AG135" s="597"/>
      <c r="AH135" s="597" t="str">
        <f t="shared" si="40"/>
        <v>May – 2016</v>
      </c>
      <c r="AI135" s="597"/>
      <c r="AJ135" s="597" t="str">
        <f t="shared" si="41"/>
        <v>EoFY – 2016</v>
      </c>
      <c r="AK135" s="597"/>
      <c r="AL135" s="597" t="str">
        <f t="shared" si="42"/>
        <v>FY-2016</v>
      </c>
      <c r="AM135" s="597"/>
      <c r="AN135" s="597" t="str">
        <f t="shared" si="43"/>
        <v>FY - 2017</v>
      </c>
      <c r="AO135" s="596"/>
      <c r="AP135" s="597" t="str">
        <f t="shared" si="44"/>
        <v>FY - 2017</v>
      </c>
      <c r="AS135" s="576"/>
    </row>
    <row r="136" spans="1:45" hidden="1">
      <c r="B136" s="271" t="str">
        <f t="shared" si="36"/>
        <v>Hide</v>
      </c>
      <c r="P136" s="283"/>
      <c r="AO136" s="562"/>
      <c r="AS136" s="576"/>
    </row>
    <row r="137" spans="1:45" s="488" customFormat="1" hidden="1">
      <c r="A137" s="271"/>
      <c r="B137" s="271" t="str">
        <f t="shared" si="36"/>
        <v>Hide</v>
      </c>
      <c r="C137" s="271"/>
      <c r="D137" s="271"/>
      <c r="E137" s="272"/>
      <c r="F137" s="272"/>
      <c r="G137" s="272"/>
      <c r="H137" s="272"/>
      <c r="I137" s="271"/>
      <c r="J137" s="271"/>
      <c r="K137" s="273"/>
      <c r="L137" s="274"/>
      <c r="M137" s="274"/>
      <c r="N137" s="271"/>
      <c r="O137" s="271"/>
      <c r="P137" s="479" t="s">
        <v>463</v>
      </c>
      <c r="Q137" s="271"/>
      <c r="R137" s="271"/>
      <c r="S137" s="271"/>
      <c r="T137" s="598">
        <v>0</v>
      </c>
      <c r="U137" s="271"/>
      <c r="V137" s="598">
        <v>0</v>
      </c>
      <c r="X137" s="598">
        <v>0</v>
      </c>
      <c r="Z137" s="598">
        <v>0</v>
      </c>
      <c r="AB137" s="598">
        <v>0</v>
      </c>
      <c r="AD137" s="598">
        <v>0</v>
      </c>
      <c r="AF137" s="598">
        <v>0</v>
      </c>
      <c r="AH137" s="598">
        <v>0</v>
      </c>
      <c r="AJ137" s="598">
        <v>0</v>
      </c>
      <c r="AL137" s="598">
        <v>0</v>
      </c>
      <c r="AN137" s="598">
        <v>0</v>
      </c>
      <c r="AO137" s="599"/>
      <c r="AP137" s="598">
        <v>0</v>
      </c>
      <c r="AQ137" s="600"/>
      <c r="AS137" s="601"/>
    </row>
    <row r="138" spans="1:45" s="488" customFormat="1" hidden="1">
      <c r="A138" s="271"/>
      <c r="B138" s="271" t="str">
        <f t="shared" si="36"/>
        <v>Hide</v>
      </c>
      <c r="C138" s="271"/>
      <c r="D138" s="271"/>
      <c r="E138" s="272"/>
      <c r="F138" s="272"/>
      <c r="G138" s="272"/>
      <c r="H138" s="272"/>
      <c r="I138" s="271"/>
      <c r="J138" s="271"/>
      <c r="K138" s="273"/>
      <c r="L138" s="274"/>
      <c r="M138" s="274"/>
      <c r="N138" s="271"/>
      <c r="O138" s="271"/>
      <c r="P138" s="479" t="s">
        <v>464</v>
      </c>
      <c r="Q138" s="271"/>
      <c r="R138" s="271"/>
      <c r="S138" s="271"/>
      <c r="T138" s="598">
        <v>0</v>
      </c>
      <c r="U138" s="271"/>
      <c r="V138" s="598">
        <v>0</v>
      </c>
      <c r="X138" s="598">
        <v>0</v>
      </c>
      <c r="Z138" s="598">
        <v>0</v>
      </c>
      <c r="AB138" s="598">
        <v>0</v>
      </c>
      <c r="AD138" s="598">
        <v>0</v>
      </c>
      <c r="AF138" s="598">
        <v>0</v>
      </c>
      <c r="AH138" s="598">
        <v>0</v>
      </c>
      <c r="AJ138" s="598">
        <v>0</v>
      </c>
      <c r="AL138" s="598">
        <v>0</v>
      </c>
      <c r="AN138" s="598">
        <v>0</v>
      </c>
      <c r="AO138" s="599"/>
      <c r="AP138" s="598">
        <v>0</v>
      </c>
      <c r="AQ138" s="600"/>
      <c r="AS138" s="601"/>
    </row>
    <row r="139" spans="1:45" s="488" customFormat="1" hidden="1">
      <c r="A139" s="271"/>
      <c r="B139" s="271" t="str">
        <f t="shared" si="36"/>
        <v>Hide</v>
      </c>
      <c r="C139" s="271"/>
      <c r="D139" s="271"/>
      <c r="E139" s="272"/>
      <c r="F139" s="272"/>
      <c r="G139" s="272"/>
      <c r="H139" s="272"/>
      <c r="I139" s="271"/>
      <c r="J139" s="271"/>
      <c r="K139" s="273"/>
      <c r="L139" s="274"/>
      <c r="M139" s="274"/>
      <c r="N139" s="271"/>
      <c r="O139" s="271"/>
      <c r="P139" s="479" t="s">
        <v>451</v>
      </c>
      <c r="Q139" s="271"/>
      <c r="R139" s="271"/>
      <c r="S139" s="271"/>
      <c r="T139" s="598">
        <v>0</v>
      </c>
      <c r="U139" s="271"/>
      <c r="V139" s="598">
        <v>0</v>
      </c>
      <c r="X139" s="598">
        <v>0</v>
      </c>
      <c r="Z139" s="598">
        <v>0</v>
      </c>
      <c r="AB139" s="598">
        <v>0</v>
      </c>
      <c r="AD139" s="598">
        <v>0</v>
      </c>
      <c r="AF139" s="598">
        <v>0</v>
      </c>
      <c r="AH139" s="598">
        <v>0</v>
      </c>
      <c r="AJ139" s="598">
        <v>0</v>
      </c>
      <c r="AL139" s="598">
        <v>0</v>
      </c>
      <c r="AN139" s="598">
        <v>0</v>
      </c>
      <c r="AO139" s="599"/>
      <c r="AP139" s="598">
        <v>0</v>
      </c>
      <c r="AQ139" s="600"/>
      <c r="AS139" s="601"/>
    </row>
    <row r="140" spans="1:45" s="488" customFormat="1" hidden="1">
      <c r="A140" s="271"/>
      <c r="B140" s="271" t="str">
        <f t="shared" si="36"/>
        <v>Hide</v>
      </c>
      <c r="C140" s="271"/>
      <c r="D140" s="271"/>
      <c r="E140" s="272"/>
      <c r="F140" s="272"/>
      <c r="G140" s="272"/>
      <c r="H140" s="272"/>
      <c r="I140" s="271"/>
      <c r="J140" s="271"/>
      <c r="K140" s="273"/>
      <c r="L140" s="274"/>
      <c r="M140" s="274"/>
      <c r="N140" s="271"/>
      <c r="O140" s="271"/>
      <c r="P140" s="479" t="s">
        <v>465</v>
      </c>
      <c r="Q140" s="271"/>
      <c r="R140" s="271"/>
      <c r="S140" s="271"/>
      <c r="T140" s="602">
        <v>0</v>
      </c>
      <c r="U140" s="271"/>
      <c r="V140" s="602">
        <v>0</v>
      </c>
      <c r="W140" s="600"/>
      <c r="X140" s="602">
        <v>0</v>
      </c>
      <c r="Y140" s="600"/>
      <c r="Z140" s="602">
        <v>0</v>
      </c>
      <c r="AA140" s="600"/>
      <c r="AB140" s="602">
        <v>0</v>
      </c>
      <c r="AC140" s="600"/>
      <c r="AD140" s="602">
        <v>0</v>
      </c>
      <c r="AE140" s="600"/>
      <c r="AF140" s="602">
        <v>0</v>
      </c>
      <c r="AG140" s="600"/>
      <c r="AH140" s="602">
        <v>0</v>
      </c>
      <c r="AI140" s="600"/>
      <c r="AJ140" s="602">
        <v>0</v>
      </c>
      <c r="AK140" s="600"/>
      <c r="AL140" s="602">
        <v>0</v>
      </c>
      <c r="AM140" s="600"/>
      <c r="AN140" s="602">
        <v>0</v>
      </c>
      <c r="AO140" s="600"/>
      <c r="AP140" s="602">
        <v>0</v>
      </c>
      <c r="AQ140" s="600"/>
      <c r="AS140" s="601"/>
    </row>
    <row r="141" spans="1:45" hidden="1">
      <c r="B141" s="271" t="str">
        <f t="shared" si="36"/>
        <v>Hide</v>
      </c>
      <c r="P141" s="283"/>
      <c r="AO141" s="562"/>
      <c r="AS141" s="576"/>
    </row>
    <row r="142" spans="1:45" hidden="1">
      <c r="B142" s="271" t="str">
        <f>IF(COUNTIF(V142:AP142,"ERROR")=0,"Hide","Show")</f>
        <v>Hide</v>
      </c>
      <c r="P142" s="283"/>
      <c r="R142" s="271">
        <f>COUNTIF(V142:AP142,"ERROR")</f>
        <v>0</v>
      </c>
      <c r="V142" s="275" t="str">
        <f>IF(OR(ABS(V137)&gt;10,ABS(V138)&gt;10,ABS(V139)&gt;10,ABS(V140)&gt;10),"ERROR","")</f>
        <v/>
      </c>
      <c r="W142" s="275"/>
      <c r="X142" s="275" t="str">
        <f>IF(OR(ABS(X137)&gt;10,ABS(X138)&gt;10,ABS(X139)&gt;10,ABS(X140)&gt;10),"ERROR","")</f>
        <v/>
      </c>
      <c r="Y142" s="275"/>
      <c r="Z142" s="275" t="str">
        <f>IF(OR(ABS(Z137)&gt;10,ABS(Z138)&gt;10,ABS(Z139)&gt;10,ABS(Z140)&gt;10),"ERROR","")</f>
        <v/>
      </c>
      <c r="AA142" s="275"/>
      <c r="AB142" s="275" t="str">
        <f>IF(OR(ABS(AB137)&gt;10,ABS(AB138)&gt;10,ABS(AB139)&gt;10,ABS(AB140)&gt;10),"ERROR","")</f>
        <v/>
      </c>
      <c r="AC142" s="275"/>
      <c r="AD142" s="275" t="str">
        <f>IF(OR(ABS(AD137)&gt;10,ABS(AD138)&gt;10,ABS(AD139)&gt;10,ABS(AD140)&gt;10),"ERROR","")</f>
        <v/>
      </c>
      <c r="AE142" s="275"/>
      <c r="AF142" s="275" t="str">
        <f>IF(OR(ABS(AF137)&gt;10,ABS(AF138)&gt;10,ABS(AF139)&gt;10,ABS(AF140)&gt;10),"ERROR","")</f>
        <v/>
      </c>
      <c r="AG142" s="275"/>
      <c r="AH142" s="275" t="str">
        <f>IF(OR(ABS(AH137)&gt;10,ABS(AH138)&gt;10,ABS(AH139)&gt;10,ABS(AH140)&gt;10),"ERROR","")</f>
        <v/>
      </c>
      <c r="AI142" s="275"/>
      <c r="AJ142" s="275"/>
      <c r="AK142" s="275"/>
      <c r="AL142" s="275"/>
      <c r="AM142" s="275"/>
      <c r="AN142" s="275" t="str">
        <f>IF(OR(ABS(AN137)&gt;10,ABS(AN138)&gt;10,ABS(AN139)&gt;10,ABS(AN140)&gt;10),"ERROR","")</f>
        <v/>
      </c>
      <c r="AO142" s="603"/>
      <c r="AP142" s="275"/>
      <c r="AS142" s="576"/>
    </row>
    <row r="143" spans="1:45" hidden="1">
      <c r="B143" s="271" t="s">
        <v>31</v>
      </c>
      <c r="P143" s="283"/>
      <c r="AO143" s="562"/>
      <c r="AS143" s="576"/>
    </row>
    <row r="144" spans="1:45" hidden="1">
      <c r="B144" s="271" t="s">
        <v>31</v>
      </c>
      <c r="P144" s="283"/>
      <c r="T144" s="275" t="s">
        <v>461</v>
      </c>
      <c r="AD144" s="275" t="s">
        <v>466</v>
      </c>
      <c r="AF144" s="275" t="s">
        <v>466</v>
      </c>
      <c r="AO144" s="562"/>
      <c r="AS144" s="576"/>
    </row>
    <row r="145" spans="2:45" hidden="1">
      <c r="B145" s="271" t="s">
        <v>31</v>
      </c>
      <c r="P145" s="479" t="s">
        <v>463</v>
      </c>
      <c r="T145" s="604">
        <f>T129</f>
        <v>0</v>
      </c>
      <c r="AD145" s="598">
        <v>0</v>
      </c>
      <c r="AF145" s="598">
        <v>0</v>
      </c>
      <c r="AO145" s="562"/>
      <c r="AS145" s="576"/>
    </row>
    <row r="146" spans="2:45" hidden="1">
      <c r="B146" s="271" t="s">
        <v>31</v>
      </c>
      <c r="P146" s="479" t="s">
        <v>464</v>
      </c>
      <c r="T146" s="604">
        <f>IF(ISERROR(HLOOKUP(F22,Balance_Sheet!N10:AC11,2)),0,HLOOKUP(F22,Balance_Sheet!N10:AC11,2))</f>
        <v>0</v>
      </c>
      <c r="AD146" s="598">
        <v>0</v>
      </c>
      <c r="AF146" s="598">
        <v>0</v>
      </c>
      <c r="AO146" s="562"/>
      <c r="AS146" s="576"/>
    </row>
    <row r="147" spans="2:45" hidden="1">
      <c r="B147" s="271" t="s">
        <v>31</v>
      </c>
      <c r="P147" s="479" t="s">
        <v>451</v>
      </c>
      <c r="T147" s="605">
        <f>T146-T145</f>
        <v>0</v>
      </c>
      <c r="AD147" s="598">
        <v>0</v>
      </c>
      <c r="AF147" s="598">
        <v>0</v>
      </c>
      <c r="AO147" s="562"/>
      <c r="AS147" s="576"/>
    </row>
    <row r="148" spans="2:45" hidden="1">
      <c r="B148" s="271" t="s">
        <v>31</v>
      </c>
      <c r="P148" s="479"/>
      <c r="AD148" s="606">
        <f>ABS(AD145)+ABS(AD146)+ABS(AD147)</f>
        <v>0</v>
      </c>
      <c r="AF148" s="606">
        <f>ABS(AF145)+ABS(AF146)+ABS(AF147)</f>
        <v>0</v>
      </c>
      <c r="AO148" s="562"/>
      <c r="AS148" s="576"/>
    </row>
    <row r="149" spans="2:45" hidden="1">
      <c r="B149" s="271" t="str">
        <f t="shared" ref="B149:B158" si="49">B148</f>
        <v>Hide</v>
      </c>
      <c r="P149" s="283"/>
      <c r="AO149" s="562"/>
      <c r="AS149" s="607"/>
    </row>
    <row r="150" spans="2:45" hidden="1">
      <c r="B150" s="271" t="str">
        <f t="shared" si="49"/>
        <v>Hide</v>
      </c>
      <c r="P150" s="283"/>
      <c r="AO150" s="562"/>
      <c r="AS150" s="607"/>
    </row>
    <row r="151" spans="2:45" ht="13.5" hidden="1">
      <c r="B151" s="271" t="str">
        <f t="shared" si="49"/>
        <v>Hide</v>
      </c>
      <c r="P151" s="497">
        <v>361001</v>
      </c>
      <c r="R151" s="497" t="s">
        <v>467</v>
      </c>
      <c r="V151" s="497"/>
      <c r="X151" s="608">
        <v>0</v>
      </c>
      <c r="Z151" s="609">
        <f>IF($X151=0,0,$AB151)</f>
        <v>0</v>
      </c>
      <c r="AB151" s="610">
        <f>T147</f>
        <v>0</v>
      </c>
      <c r="AO151" s="562"/>
      <c r="AS151" s="607"/>
    </row>
    <row r="152" spans="2:45" ht="13.5" hidden="1">
      <c r="B152" s="271" t="str">
        <f t="shared" si="49"/>
        <v>Hide</v>
      </c>
      <c r="P152" s="497">
        <v>549001</v>
      </c>
      <c r="R152" s="497" t="s">
        <v>468</v>
      </c>
      <c r="V152" s="497">
        <v>51301</v>
      </c>
      <c r="X152" s="608">
        <v>0</v>
      </c>
      <c r="Z152" s="609">
        <f>IF($X152=0,0,IF($Z151=0,$AB152,0))</f>
        <v>0</v>
      </c>
      <c r="AB152" s="610">
        <f t="shared" ref="AB152:AB158" si="50">$AB151</f>
        <v>0</v>
      </c>
      <c r="AO152" s="562"/>
      <c r="AS152" s="607"/>
    </row>
    <row r="153" spans="2:45" ht="13.5" hidden="1">
      <c r="B153" s="271" t="str">
        <f t="shared" si="49"/>
        <v>Hide</v>
      </c>
      <c r="P153" s="497">
        <v>549900</v>
      </c>
      <c r="R153" s="497" t="s">
        <v>469</v>
      </c>
      <c r="V153" s="497">
        <v>51301</v>
      </c>
      <c r="X153" s="608">
        <v>0</v>
      </c>
      <c r="Z153" s="609">
        <f>IF($X153=0,0,IF(SUM($Z151:$Z152)=0,$AB153,0))</f>
        <v>0</v>
      </c>
      <c r="AB153" s="610">
        <f t="shared" si="50"/>
        <v>0</v>
      </c>
      <c r="AO153" s="562"/>
      <c r="AS153" s="607"/>
    </row>
    <row r="154" spans="2:45" ht="13.5" hidden="1">
      <c r="B154" s="271" t="str">
        <f t="shared" si="49"/>
        <v>Hide</v>
      </c>
      <c r="P154" s="497">
        <v>565001</v>
      </c>
      <c r="R154" s="497" t="s">
        <v>439</v>
      </c>
      <c r="V154" s="497" t="s">
        <v>470</v>
      </c>
      <c r="X154" s="608">
        <v>0</v>
      </c>
      <c r="Z154" s="609">
        <f>IF($X154=0,0,IF(SUM($Z151:$Z153)=0,$AB154,0))</f>
        <v>0</v>
      </c>
      <c r="AB154" s="610">
        <f t="shared" si="50"/>
        <v>0</v>
      </c>
      <c r="AO154" s="562"/>
      <c r="AS154" s="607"/>
    </row>
    <row r="155" spans="2:45" ht="13.5" hidden="1">
      <c r="B155" s="271" t="str">
        <f t="shared" si="49"/>
        <v>Hide</v>
      </c>
      <c r="P155" s="497">
        <f t="shared" ref="P155:P157" si="51">P154+1</f>
        <v>565002</v>
      </c>
      <c r="R155" s="497" t="s">
        <v>439</v>
      </c>
      <c r="V155" s="497" t="s">
        <v>470</v>
      </c>
      <c r="X155" s="608">
        <v>0</v>
      </c>
      <c r="Z155" s="609">
        <f>IF($X155=0,0,IF(SUM($Z151:$Z154)=0,$AB155,0))</f>
        <v>0</v>
      </c>
      <c r="AB155" s="610">
        <f t="shared" si="50"/>
        <v>0</v>
      </c>
      <c r="AO155" s="562"/>
      <c r="AS155" s="607"/>
    </row>
    <row r="156" spans="2:45" ht="13.5" hidden="1">
      <c r="B156" s="271" t="str">
        <f t="shared" si="49"/>
        <v>Hide</v>
      </c>
      <c r="P156" s="497">
        <f t="shared" si="51"/>
        <v>565003</v>
      </c>
      <c r="R156" s="497" t="s">
        <v>439</v>
      </c>
      <c r="V156" s="497" t="s">
        <v>470</v>
      </c>
      <c r="X156" s="608">
        <v>0</v>
      </c>
      <c r="Z156" s="609">
        <f>IF($X156=0,0,IF(SUM($Z151:$Z155)=0,$AB156,0))</f>
        <v>0</v>
      </c>
      <c r="AB156" s="610">
        <f t="shared" si="50"/>
        <v>0</v>
      </c>
      <c r="AO156" s="562"/>
      <c r="AS156" s="607"/>
    </row>
    <row r="157" spans="2:45" ht="13.5" hidden="1">
      <c r="B157" s="271" t="str">
        <f t="shared" si="49"/>
        <v>Hide</v>
      </c>
      <c r="P157" s="497">
        <f t="shared" si="51"/>
        <v>565004</v>
      </c>
      <c r="R157" s="497" t="s">
        <v>439</v>
      </c>
      <c r="V157" s="497" t="s">
        <v>470</v>
      </c>
      <c r="X157" s="608">
        <v>0</v>
      </c>
      <c r="Z157" s="609">
        <f>IF($X157=0,0,IF(SUM($Z151:$Z156)=0,$AB157,0))</f>
        <v>0</v>
      </c>
      <c r="AB157" s="610">
        <f t="shared" si="50"/>
        <v>0</v>
      </c>
      <c r="AO157" s="562"/>
      <c r="AS157" s="607"/>
    </row>
    <row r="158" spans="2:45" hidden="1">
      <c r="B158" s="271" t="str">
        <f t="shared" si="49"/>
        <v>Hide</v>
      </c>
      <c r="R158" s="497" t="s">
        <v>471</v>
      </c>
      <c r="X158" s="611"/>
      <c r="Z158" s="609">
        <f>IF(SUM($Z151:$Z157)=0,$AB158,0)</f>
        <v>0</v>
      </c>
      <c r="AB158" s="610">
        <f t="shared" si="50"/>
        <v>0</v>
      </c>
      <c r="AO158" s="562"/>
      <c r="AS158" s="607"/>
    </row>
  </sheetData>
  <sheetProtection selectLockedCells="1" selectUnlockedCells="1"/>
  <mergeCells count="6">
    <mergeCell ref="P25:AP25"/>
    <mergeCell ref="P26:AP26"/>
    <mergeCell ref="P27:AP27"/>
    <mergeCell ref="P29:AP29"/>
    <mergeCell ref="P35:AP35"/>
    <mergeCell ref="R36:AP36"/>
  </mergeCells>
  <printOptions horizontalCentered="1"/>
  <pageMargins left="0.75" right="0.75" top="1.6166666666666667" bottom="1.1777777777777776" header="0.4" footer="0.35"/>
  <pageSetup scale="82" firstPageNumber="0" orientation="portrait" horizontalDpi="300" verticalDpi="300"/>
  <headerFooter alignWithMargins="0">
    <oddHeader>&amp;L&amp;"Arial black,Bold"&amp;15BRIGER
Community Development District&amp;R&amp;"Arial,Italic"&amp;13eneral Fund</oddHeader>
    <oddFooter>&amp;L     Fiscal Year 2017
     Annual Operating and Debt Service Budget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Y62"/>
  <sheetViews>
    <sheetView topLeftCell="B9" zoomScale="115" zoomScaleNormal="115" zoomScaleSheetLayoutView="115" workbookViewId="0">
      <pane ySplit="2" topLeftCell="A11" activePane="bottomLeft" state="frozen"/>
      <selection activeCell="A9" sqref="A9"/>
      <selection pane="bottomLeft"/>
    </sheetView>
  </sheetViews>
  <sheetFormatPr defaultRowHeight="12.75"/>
  <cols>
    <col min="1" max="1" width="0" style="55" hidden="1" customWidth="1"/>
    <col min="2" max="2" width="41.7109375" style="55" customWidth="1"/>
    <col min="3" max="3" width="1.7109375" style="55" customWidth="1"/>
    <col min="4" max="4" width="14.28515625" style="55" customWidth="1"/>
    <col min="5" max="5" width="1.7109375" style="55" customWidth="1"/>
    <col min="6" max="6" width="14.28515625" style="55" customWidth="1"/>
    <col min="7" max="7" width="1.7109375" style="55" customWidth="1"/>
    <col min="8" max="8" width="65.7109375" style="55" customWidth="1"/>
    <col min="9" max="9" width="1.7109375" style="55" customWidth="1"/>
    <col min="10" max="10" width="0" style="52" hidden="1" customWidth="1"/>
    <col min="11" max="11" width="0" style="55" hidden="1" customWidth="1"/>
    <col min="12" max="12" width="0" style="52" hidden="1" customWidth="1"/>
    <col min="13" max="13" width="0" style="55" hidden="1" customWidth="1"/>
    <col min="14" max="14" width="0" style="52" hidden="1" customWidth="1"/>
    <col min="15" max="16384" width="9.140625" style="55"/>
  </cols>
  <sheetData>
    <row r="1" spans="1:13" hidden="1">
      <c r="A1" s="55" t="s">
        <v>492</v>
      </c>
      <c r="B1" s="612"/>
      <c r="C1" s="55" t="s">
        <v>493</v>
      </c>
    </row>
    <row r="2" spans="1:13" hidden="1">
      <c r="A2" s="55" t="s">
        <v>493</v>
      </c>
    </row>
    <row r="3" spans="1:13" hidden="1">
      <c r="B3" s="1429"/>
      <c r="C3" s="1429"/>
      <c r="D3" s="1429"/>
      <c r="E3" s="1429"/>
      <c r="F3" s="1429"/>
      <c r="G3" s="1429"/>
      <c r="H3" s="613"/>
      <c r="I3" s="613"/>
      <c r="K3" s="613"/>
      <c r="M3" s="613"/>
    </row>
    <row r="4" spans="1:13" hidden="1"/>
    <row r="5" spans="1:13" hidden="1">
      <c r="B5" s="1430"/>
      <c r="C5" s="1430"/>
      <c r="D5" s="1430"/>
      <c r="E5" s="1430"/>
    </row>
    <row r="6" spans="1:13" ht="18">
      <c r="B6" s="1431" t="str">
        <f>IF(OVERRIDE_DN="",CDD,OVERRIDE_DN)</f>
        <v>Harmony</v>
      </c>
      <c r="C6" s="1431"/>
      <c r="D6" s="1431"/>
      <c r="E6" s="1431"/>
      <c r="F6" s="1431"/>
    </row>
    <row r="7" spans="1:13" ht="18">
      <c r="B7" s="1431" t="str">
        <f>IF(OVERRIDE_TYPE="",CDD_NAME,OVERRIDE_TYPE)</f>
        <v>Community Development District</v>
      </c>
      <c r="C7" s="1431"/>
      <c r="D7" s="1431"/>
      <c r="E7" s="1431"/>
      <c r="F7" s="1431"/>
      <c r="G7" s="614"/>
      <c r="H7" s="614"/>
      <c r="I7" s="614"/>
      <c r="K7" s="614"/>
      <c r="M7" s="614"/>
    </row>
    <row r="8" spans="1:13" ht="15" customHeight="1">
      <c r="B8" s="615"/>
      <c r="C8" s="612"/>
      <c r="D8" s="612"/>
      <c r="E8" s="612"/>
    </row>
    <row r="9" spans="1:13" s="616" customFormat="1" ht="15.75">
      <c r="B9" s="1432" t="s">
        <v>494</v>
      </c>
      <c r="C9" s="1432"/>
      <c r="D9" s="1432"/>
      <c r="E9" s="1432"/>
      <c r="F9" s="1432"/>
      <c r="G9" s="1432"/>
      <c r="H9" s="617"/>
      <c r="I9" s="618"/>
      <c r="K9" s="618"/>
      <c r="M9" s="618"/>
    </row>
    <row r="10" spans="1:13" s="616" customFormat="1" ht="15.75">
      <c r="B10" s="1432" t="s">
        <v>495</v>
      </c>
      <c r="C10" s="1432"/>
      <c r="D10" s="1432"/>
      <c r="E10" s="1432"/>
      <c r="F10" s="1432"/>
      <c r="G10" s="1432"/>
      <c r="H10" s="619"/>
      <c r="I10" s="620"/>
      <c r="K10" s="620"/>
      <c r="M10" s="620"/>
    </row>
    <row r="11" spans="1:13" ht="8.1" customHeight="1">
      <c r="B11" s="621"/>
      <c r="C11" s="621"/>
      <c r="D11" s="621"/>
      <c r="E11" s="621"/>
      <c r="F11" s="57"/>
      <c r="G11" s="622"/>
      <c r="H11" s="623"/>
      <c r="I11" s="624"/>
      <c r="K11" s="624"/>
      <c r="M11" s="624"/>
    </row>
    <row r="12" spans="1:13" ht="12" hidden="1" customHeight="1">
      <c r="B12" s="621"/>
      <c r="C12" s="621"/>
      <c r="D12" s="621"/>
      <c r="E12" s="621"/>
      <c r="F12" s="57"/>
      <c r="G12" s="622"/>
      <c r="H12" s="623"/>
      <c r="I12" s="624"/>
      <c r="K12" s="624"/>
      <c r="M12" s="624"/>
    </row>
    <row r="13" spans="1:13" ht="12" customHeight="1">
      <c r="B13" s="621"/>
      <c r="C13" s="621"/>
      <c r="D13" s="621"/>
      <c r="E13" s="621"/>
      <c r="F13" s="625" t="s">
        <v>496</v>
      </c>
      <c r="G13" s="622"/>
      <c r="H13" s="626" t="s">
        <v>497</v>
      </c>
      <c r="I13" s="624"/>
      <c r="K13" s="624"/>
      <c r="M13" s="624"/>
    </row>
    <row r="14" spans="1:13" ht="8.1" customHeight="1">
      <c r="B14" s="621"/>
      <c r="C14" s="621"/>
      <c r="D14" s="621"/>
      <c r="E14" s="621"/>
      <c r="F14" s="627"/>
      <c r="G14" s="622"/>
      <c r="H14" s="623"/>
      <c r="I14" s="624"/>
      <c r="K14" s="624"/>
      <c r="M14" s="624"/>
    </row>
    <row r="15" spans="1:13" ht="15" customHeight="1">
      <c r="B15" s="628" t="s">
        <v>498</v>
      </c>
      <c r="C15" s="628"/>
      <c r="D15" s="628"/>
      <c r="E15" s="628"/>
      <c r="F15" s="629"/>
      <c r="G15" s="622"/>
      <c r="H15" s="623"/>
      <c r="I15" s="624"/>
      <c r="K15" s="624"/>
      <c r="M15" s="624"/>
    </row>
    <row r="16" spans="1:13" s="52" customFormat="1" ht="9.9499999999999993" customHeight="1">
      <c r="B16" s="630"/>
      <c r="C16" s="53"/>
      <c r="D16" s="53"/>
      <c r="E16" s="53"/>
      <c r="F16" s="627"/>
      <c r="G16" s="631"/>
      <c r="H16" s="632"/>
      <c r="I16" s="633"/>
      <c r="J16" s="634" t="s">
        <v>499</v>
      </c>
      <c r="K16" s="633"/>
      <c r="L16" s="634" t="s">
        <v>500</v>
      </c>
      <c r="M16" s="633"/>
    </row>
    <row r="17" spans="2:13" ht="12" customHeight="1">
      <c r="B17" s="635" t="str">
        <f>"Beginning Fund Balance - Fiscal Year "&amp;Budget_Fiscal_Year</f>
        <v>Beginning Fund Balance - Fiscal Year 2017</v>
      </c>
      <c r="C17" s="58"/>
      <c r="D17" s="636"/>
      <c r="E17" s="636"/>
      <c r="F17" s="637">
        <f>+'001'!AP271</f>
        <v>675434</v>
      </c>
      <c r="G17" s="622"/>
      <c r="H17" s="638"/>
      <c r="I17" s="624"/>
      <c r="J17" s="639">
        <v>699602</v>
      </c>
      <c r="K17" s="624"/>
      <c r="L17" s="640">
        <f>F17-J17</f>
        <v>-24168</v>
      </c>
      <c r="M17" s="624"/>
    </row>
    <row r="18" spans="2:13" ht="9.9499999999999993" customHeight="1">
      <c r="B18" s="635"/>
      <c r="C18" s="53"/>
      <c r="D18" s="636"/>
      <c r="E18" s="636"/>
      <c r="F18" s="354"/>
      <c r="G18" s="622"/>
      <c r="H18" s="623"/>
      <c r="I18" s="624"/>
      <c r="K18" s="624"/>
      <c r="L18" s="641"/>
      <c r="M18" s="624"/>
    </row>
    <row r="19" spans="2:13" ht="12" customHeight="1">
      <c r="B19" s="635" t="str">
        <f>"Net Change in Fund Balance - Fiscal Year "&amp;Budget_Fiscal_Year</f>
        <v>Net Change in Fund Balance - Fiscal Year 2017</v>
      </c>
      <c r="C19" s="53"/>
      <c r="D19" s="636"/>
      <c r="E19" s="636"/>
      <c r="F19" s="354">
        <f ca="1">+'001'!AP266</f>
        <v>0</v>
      </c>
      <c r="G19" s="622"/>
      <c r="H19" s="638"/>
      <c r="I19" s="624"/>
      <c r="J19" s="642">
        <v>0</v>
      </c>
      <c r="K19" s="624"/>
      <c r="L19" s="641">
        <f ca="1">F19-J19</f>
        <v>0</v>
      </c>
      <c r="M19" s="624"/>
    </row>
    <row r="20" spans="2:13" ht="9.9499999999999993" customHeight="1">
      <c r="B20" s="635"/>
      <c r="C20" s="53"/>
      <c r="D20" s="636"/>
      <c r="E20" s="636"/>
      <c r="F20" s="354"/>
      <c r="G20" s="622"/>
      <c r="H20" s="623"/>
      <c r="I20" s="624"/>
      <c r="K20" s="624"/>
      <c r="L20" s="641"/>
      <c r="M20" s="624"/>
    </row>
    <row r="21" spans="2:13" ht="12" customHeight="1">
      <c r="B21" s="635" t="str">
        <f>"Reserves - Fiscal Year "&amp;Budget_Fiscal_Year&amp;" "&amp;"Additions"</f>
        <v>Reserves - Fiscal Year 2017 Additions</v>
      </c>
      <c r="C21" s="53"/>
      <c r="D21" s="636"/>
      <c r="E21" s="636"/>
      <c r="F21" s="354">
        <v>0</v>
      </c>
      <c r="G21" s="622"/>
      <c r="H21" s="638"/>
      <c r="I21" s="624"/>
      <c r="J21" s="642">
        <v>0</v>
      </c>
      <c r="K21" s="624"/>
      <c r="L21" s="641">
        <f>F21-J21</f>
        <v>0</v>
      </c>
      <c r="M21" s="624"/>
    </row>
    <row r="22" spans="2:13" ht="9.9499999999999993" customHeight="1">
      <c r="B22" s="53"/>
      <c r="C22" s="53"/>
      <c r="D22" s="636"/>
      <c r="E22" s="636"/>
      <c r="F22" s="354"/>
      <c r="G22" s="622"/>
      <c r="H22" s="623"/>
      <c r="I22" s="624"/>
      <c r="K22" s="624"/>
      <c r="L22" s="641"/>
      <c r="M22" s="624"/>
    </row>
    <row r="23" spans="2:13" ht="12" customHeight="1">
      <c r="B23" s="643" t="str">
        <f>"Total Funds Available (Estimated) - 9/30/"&amp;Budget_Fiscal_Year</f>
        <v>Total Funds Available (Estimated) - 9/30/2017</v>
      </c>
      <c r="C23" s="644"/>
      <c r="D23" s="645"/>
      <c r="E23" s="646"/>
      <c r="F23" s="647">
        <f ca="1">SUM(F17:F21)</f>
        <v>675434</v>
      </c>
      <c r="G23" s="622"/>
      <c r="H23" s="648"/>
      <c r="I23" s="624"/>
      <c r="J23" s="649">
        <f>SUM(J17:J21)</f>
        <v>699602</v>
      </c>
      <c r="K23" s="624"/>
      <c r="L23" s="641">
        <f ca="1">F23-J23</f>
        <v>-24168</v>
      </c>
      <c r="M23" s="624"/>
    </row>
    <row r="24" spans="2:13" ht="12" customHeight="1">
      <c r="B24" s="650"/>
      <c r="C24" s="53"/>
      <c r="D24" s="651"/>
      <c r="E24" s="636"/>
      <c r="F24" s="652"/>
      <c r="G24" s="622"/>
      <c r="H24" s="623"/>
      <c r="I24" s="624"/>
      <c r="K24" s="624"/>
      <c r="L24" s="641"/>
      <c r="M24" s="624"/>
    </row>
    <row r="25" spans="2:13" hidden="1">
      <c r="B25" s="53"/>
      <c r="C25" s="53"/>
      <c r="D25" s="636"/>
      <c r="E25" s="636"/>
      <c r="F25" s="354"/>
      <c r="G25" s="622"/>
      <c r="H25" s="623"/>
      <c r="I25" s="624"/>
      <c r="K25" s="624"/>
      <c r="L25" s="641"/>
      <c r="M25" s="624"/>
    </row>
    <row r="26" spans="2:13" ht="15" customHeight="1">
      <c r="B26" s="628" t="str">
        <f>UPPER("Allocation of Available Funds")</f>
        <v>ALLOCATION OF AVAILABLE FUNDS</v>
      </c>
      <c r="C26" s="628"/>
      <c r="D26" s="628"/>
      <c r="E26" s="628"/>
      <c r="F26" s="629"/>
      <c r="G26" s="622"/>
      <c r="H26" s="623"/>
      <c r="I26" s="624"/>
      <c r="K26" s="624"/>
      <c r="L26" s="641"/>
      <c r="M26" s="624"/>
    </row>
    <row r="27" spans="2:13" s="52" customFormat="1" ht="9.9499999999999993" customHeight="1">
      <c r="B27" s="653"/>
      <c r="C27" s="653"/>
      <c r="D27" s="653"/>
      <c r="E27" s="653"/>
      <c r="F27" s="654"/>
      <c r="G27" s="631"/>
      <c r="H27" s="632"/>
      <c r="I27" s="633"/>
      <c r="K27" s="633"/>
      <c r="L27" s="641"/>
      <c r="M27" s="633"/>
    </row>
    <row r="28" spans="2:13" s="52" customFormat="1" ht="15" hidden="1" customHeight="1">
      <c r="B28" s="655" t="s">
        <v>501</v>
      </c>
      <c r="C28" s="656"/>
      <c r="D28" s="428"/>
      <c r="E28" s="428"/>
      <c r="F28" s="354"/>
      <c r="G28" s="631"/>
      <c r="H28" s="632"/>
      <c r="I28" s="633"/>
      <c r="K28" s="633"/>
      <c r="L28" s="641"/>
      <c r="M28" s="633"/>
    </row>
    <row r="29" spans="2:13" s="52" customFormat="1" ht="15" hidden="1" customHeight="1">
      <c r="B29" s="657" t="s">
        <v>502</v>
      </c>
      <c r="C29" s="656"/>
      <c r="D29" s="428"/>
      <c r="E29" s="428"/>
      <c r="F29" s="354">
        <v>0</v>
      </c>
      <c r="G29" s="631"/>
      <c r="H29" s="632"/>
      <c r="I29" s="633"/>
      <c r="K29" s="633"/>
      <c r="L29" s="641"/>
      <c r="M29" s="633"/>
    </row>
    <row r="30" spans="2:13" s="52" customFormat="1" ht="15" hidden="1" customHeight="1">
      <c r="B30" s="657" t="s">
        <v>503</v>
      </c>
      <c r="C30" s="656"/>
      <c r="D30" s="428"/>
      <c r="E30" s="428"/>
      <c r="F30" s="354">
        <v>0</v>
      </c>
      <c r="G30" s="631"/>
      <c r="H30" s="632"/>
      <c r="I30" s="633"/>
      <c r="K30" s="633"/>
      <c r="L30" s="641"/>
      <c r="M30" s="633"/>
    </row>
    <row r="31" spans="2:13" s="52" customFormat="1" ht="15" hidden="1" customHeight="1">
      <c r="B31" s="657" t="s">
        <v>504</v>
      </c>
      <c r="C31" s="656"/>
      <c r="D31" s="428"/>
      <c r="E31" s="428"/>
      <c r="F31" s="354">
        <v>0</v>
      </c>
      <c r="G31" s="631"/>
      <c r="H31" s="632"/>
      <c r="I31" s="633"/>
      <c r="K31" s="633"/>
      <c r="L31" s="641"/>
      <c r="M31" s="633"/>
    </row>
    <row r="32" spans="2:13" s="52" customFormat="1" ht="15" hidden="1" customHeight="1">
      <c r="B32" s="658"/>
      <c r="C32" s="656"/>
      <c r="D32" s="428"/>
      <c r="E32" s="659" t="s">
        <v>505</v>
      </c>
      <c r="F32" s="660">
        <f>SUM(F28:F31)</f>
        <v>0</v>
      </c>
      <c r="G32" s="631"/>
      <c r="H32" s="632"/>
      <c r="I32" s="633"/>
      <c r="K32" s="633"/>
      <c r="L32" s="641"/>
      <c r="M32" s="633"/>
    </row>
    <row r="33" spans="2:13" s="52" customFormat="1" ht="5.0999999999999996" hidden="1" customHeight="1">
      <c r="B33" s="658"/>
      <c r="C33" s="656"/>
      <c r="D33" s="428"/>
      <c r="E33" s="428"/>
      <c r="F33" s="354"/>
      <c r="G33" s="631"/>
      <c r="H33" s="632"/>
      <c r="I33" s="633"/>
      <c r="K33" s="633"/>
      <c r="L33" s="641"/>
      <c r="M33" s="633"/>
    </row>
    <row r="34" spans="2:13" s="52" customFormat="1" ht="15" hidden="1" customHeight="1">
      <c r="B34" s="655" t="s">
        <v>506</v>
      </c>
      <c r="C34" s="656"/>
      <c r="D34" s="428"/>
      <c r="E34" s="428"/>
      <c r="F34" s="354"/>
      <c r="G34" s="631"/>
      <c r="H34" s="632"/>
      <c r="I34" s="633"/>
      <c r="K34" s="633"/>
      <c r="L34" s="641"/>
      <c r="M34" s="633"/>
    </row>
    <row r="35" spans="2:13" s="52" customFormat="1" ht="15" hidden="1" customHeight="1">
      <c r="B35" s="657" t="s">
        <v>507</v>
      </c>
      <c r="C35" s="656"/>
      <c r="D35" s="428"/>
      <c r="E35" s="428"/>
      <c r="F35" s="354">
        <v>0</v>
      </c>
      <c r="G35" s="631"/>
      <c r="H35" s="632"/>
      <c r="I35" s="633"/>
      <c r="K35" s="633"/>
      <c r="L35" s="641"/>
      <c r="M35" s="633"/>
    </row>
    <row r="36" spans="2:13" s="52" customFormat="1" ht="15" hidden="1" customHeight="1">
      <c r="B36" s="658"/>
      <c r="C36" s="656"/>
      <c r="D36" s="428"/>
      <c r="E36" s="659" t="s">
        <v>505</v>
      </c>
      <c r="F36" s="660">
        <f>SUM(F33:F35)</f>
        <v>0</v>
      </c>
      <c r="G36" s="631"/>
      <c r="H36" s="632"/>
      <c r="I36" s="633"/>
      <c r="K36" s="633"/>
      <c r="L36" s="641"/>
      <c r="M36" s="633"/>
    </row>
    <row r="37" spans="2:13" s="52" customFormat="1" ht="5.0999999999999996" hidden="1" customHeight="1">
      <c r="B37" s="658"/>
      <c r="C37" s="656"/>
      <c r="D37" s="428"/>
      <c r="E37" s="428"/>
      <c r="F37" s="354" t="s">
        <v>508</v>
      </c>
      <c r="G37" s="631"/>
      <c r="H37" s="632"/>
      <c r="I37" s="633"/>
      <c r="K37" s="633"/>
      <c r="L37" s="641"/>
      <c r="M37" s="633"/>
    </row>
    <row r="38" spans="2:13" s="52" customFormat="1" ht="15" hidden="1" customHeight="1">
      <c r="B38" s="655" t="s">
        <v>509</v>
      </c>
      <c r="C38" s="656"/>
      <c r="D38" s="428"/>
      <c r="E38" s="428"/>
      <c r="F38" s="354"/>
      <c r="G38" s="631"/>
      <c r="H38" s="632"/>
      <c r="I38" s="633"/>
      <c r="K38" s="633"/>
      <c r="L38" s="641"/>
      <c r="M38" s="633"/>
    </row>
    <row r="39" spans="2:13" s="52" customFormat="1" ht="15" hidden="1" customHeight="1">
      <c r="B39" s="661" t="s">
        <v>510</v>
      </c>
      <c r="C39" s="656"/>
      <c r="D39" s="428"/>
      <c r="E39" s="428"/>
      <c r="F39" s="354">
        <v>0</v>
      </c>
      <c r="G39" s="631"/>
      <c r="H39" s="632"/>
      <c r="I39" s="633"/>
      <c r="K39" s="633"/>
      <c r="L39" s="641"/>
      <c r="M39" s="633"/>
    </row>
    <row r="40" spans="2:13" s="52" customFormat="1" ht="15" hidden="1" customHeight="1">
      <c r="B40" s="662"/>
      <c r="C40" s="656"/>
      <c r="D40" s="428"/>
      <c r="E40" s="659" t="s">
        <v>505</v>
      </c>
      <c r="F40" s="660">
        <f>SUM(F37:F39)</f>
        <v>0</v>
      </c>
      <c r="G40" s="631"/>
      <c r="H40" s="632"/>
      <c r="I40" s="633"/>
      <c r="K40" s="633"/>
      <c r="L40" s="641"/>
      <c r="M40" s="633"/>
    </row>
    <row r="41" spans="2:13" s="52" customFormat="1" ht="5.0999999999999996" hidden="1" customHeight="1">
      <c r="B41" s="658"/>
      <c r="C41" s="656"/>
      <c r="D41" s="428"/>
      <c r="E41" s="428"/>
      <c r="F41" s="354"/>
      <c r="G41" s="631"/>
      <c r="H41" s="632"/>
      <c r="I41" s="633"/>
      <c r="K41" s="633"/>
      <c r="L41" s="641"/>
      <c r="M41" s="633"/>
    </row>
    <row r="42" spans="2:13" s="52" customFormat="1" ht="12" customHeight="1">
      <c r="B42" s="655" t="s">
        <v>511</v>
      </c>
      <c r="C42" s="656"/>
      <c r="D42" s="428"/>
      <c r="E42" s="428"/>
      <c r="F42" s="354"/>
      <c r="G42" s="631"/>
      <c r="H42" s="632"/>
      <c r="I42" s="633"/>
      <c r="K42" s="633"/>
      <c r="L42" s="641"/>
      <c r="M42" s="633"/>
    </row>
    <row r="43" spans="2:13" s="52" customFormat="1" ht="12" customHeight="1">
      <c r="B43" s="1466" t="s">
        <v>512</v>
      </c>
      <c r="C43" s="663"/>
      <c r="D43" s="428"/>
      <c r="E43" s="428"/>
      <c r="F43" s="354">
        <v>250000</v>
      </c>
      <c r="G43" s="664" t="s">
        <v>513</v>
      </c>
      <c r="H43" s="665"/>
      <c r="I43" s="666"/>
      <c r="J43" s="667">
        <f ca="1">(+'001'!AP247-'001'!AP164)/4</f>
        <v>388199.25</v>
      </c>
      <c r="K43" s="666"/>
      <c r="L43" s="641">
        <f t="shared" ref="L43:L47" ca="1" si="0">F43-J43</f>
        <v>-138199.25</v>
      </c>
      <c r="M43" s="666"/>
    </row>
    <row r="44" spans="2:13" s="52" customFormat="1" ht="12" customHeight="1">
      <c r="B44" s="1466" t="s">
        <v>514</v>
      </c>
      <c r="C44" s="663"/>
      <c r="D44" s="428"/>
      <c r="E44" s="428"/>
      <c r="F44" s="354">
        <v>50000</v>
      </c>
      <c r="G44" s="664"/>
      <c r="H44" s="665"/>
      <c r="I44" s="666"/>
      <c r="J44" s="668">
        <v>50000</v>
      </c>
      <c r="K44" s="666"/>
      <c r="L44" s="641">
        <f t="shared" si="0"/>
        <v>0</v>
      </c>
      <c r="M44" s="666"/>
    </row>
    <row r="45" spans="2:13" s="52" customFormat="1" ht="12" customHeight="1">
      <c r="B45" s="1466" t="s">
        <v>515</v>
      </c>
      <c r="C45" s="663"/>
      <c r="D45" s="428"/>
      <c r="E45" s="428"/>
      <c r="F45" s="354">
        <v>99188</v>
      </c>
      <c r="G45" s="664"/>
      <c r="H45" s="665"/>
      <c r="I45" s="666"/>
      <c r="J45" s="668">
        <v>99188</v>
      </c>
      <c r="K45" s="666"/>
      <c r="L45" s="641">
        <f t="shared" si="0"/>
        <v>0</v>
      </c>
      <c r="M45" s="666"/>
    </row>
    <row r="46" spans="2:13" s="52" customFormat="1" ht="12" customHeight="1">
      <c r="B46" s="1465" t="s">
        <v>7932</v>
      </c>
      <c r="C46" s="656"/>
      <c r="D46" s="428"/>
      <c r="E46" s="428"/>
      <c r="F46" s="1463">
        <v>165000</v>
      </c>
      <c r="G46" s="631"/>
      <c r="H46" s="1464" t="s">
        <v>7933</v>
      </c>
      <c r="I46" s="633"/>
      <c r="J46" s="668">
        <v>60000</v>
      </c>
      <c r="K46" s="633"/>
      <c r="L46" s="641">
        <f t="shared" si="0"/>
        <v>105000</v>
      </c>
      <c r="M46" s="633"/>
    </row>
    <row r="47" spans="2:13" s="52" customFormat="1" ht="12" customHeight="1">
      <c r="B47" s="1466" t="s">
        <v>516</v>
      </c>
      <c r="C47" s="656"/>
      <c r="D47" s="428"/>
      <c r="E47" s="428"/>
      <c r="F47" s="1463">
        <v>0</v>
      </c>
      <c r="G47" s="631"/>
      <c r="H47" s="1464" t="s">
        <v>7931</v>
      </c>
      <c r="I47" s="633"/>
      <c r="J47" s="668">
        <v>0</v>
      </c>
      <c r="K47" s="633"/>
      <c r="L47" s="641">
        <f t="shared" si="0"/>
        <v>0</v>
      </c>
      <c r="M47" s="633"/>
    </row>
    <row r="48" spans="2:13" s="52" customFormat="1" ht="8.1" customHeight="1">
      <c r="B48" s="657"/>
      <c r="C48" s="656"/>
      <c r="D48" s="428"/>
      <c r="E48" s="428"/>
      <c r="F48" s="354"/>
      <c r="G48" s="631"/>
      <c r="H48" s="632"/>
      <c r="I48" s="633"/>
      <c r="K48" s="633"/>
      <c r="L48" s="641"/>
      <c r="M48" s="633"/>
    </row>
    <row r="49" spans="2:25" s="52" customFormat="1" ht="12" customHeight="1">
      <c r="B49" s="658"/>
      <c r="C49" s="656"/>
      <c r="D49" s="659" t="s">
        <v>505</v>
      </c>
      <c r="E49" s="659"/>
      <c r="F49" s="660">
        <f>SUM(F43:F48)</f>
        <v>564188</v>
      </c>
      <c r="G49" s="631"/>
      <c r="H49" s="669"/>
      <c r="I49" s="633"/>
      <c r="J49" s="642">
        <f ca="1">SUM(J43:J48)</f>
        <v>597387.25</v>
      </c>
      <c r="K49" s="633"/>
      <c r="L49" s="641">
        <f ca="1">F49-J49</f>
        <v>-33199.25</v>
      </c>
      <c r="M49" s="633"/>
    </row>
    <row r="50" spans="2:25" s="52" customFormat="1" ht="9.9499999999999993" customHeight="1">
      <c r="B50" s="670"/>
      <c r="C50" s="663"/>
      <c r="D50" s="428"/>
      <c r="E50" s="428"/>
      <c r="F50" s="354"/>
      <c r="G50" s="631"/>
      <c r="H50" s="632"/>
      <c r="I50" s="633"/>
      <c r="K50" s="633"/>
      <c r="L50" s="641"/>
      <c r="M50" s="633"/>
    </row>
    <row r="51" spans="2:25" s="52" customFormat="1" ht="12" customHeight="1">
      <c r="B51" s="671" t="s">
        <v>517</v>
      </c>
      <c r="C51" s="672"/>
      <c r="D51" s="673"/>
      <c r="E51" s="673"/>
      <c r="F51" s="647">
        <f>+F49+F40+F36+F32</f>
        <v>564188</v>
      </c>
      <c r="G51" s="631"/>
      <c r="H51" s="669"/>
      <c r="I51" s="633"/>
      <c r="J51" s="649">
        <f ca="1">+J49+J40+J36+J32</f>
        <v>597387.25</v>
      </c>
      <c r="K51" s="633"/>
      <c r="L51" s="641">
        <f ca="1">F51-J51</f>
        <v>-33199.25</v>
      </c>
      <c r="M51" s="633"/>
    </row>
    <row r="52" spans="2:25" s="52" customFormat="1" ht="12">
      <c r="B52" s="674"/>
      <c r="C52" s="53"/>
      <c r="D52" s="636"/>
      <c r="E52" s="636"/>
      <c r="F52" s="354"/>
      <c r="G52" s="631"/>
      <c r="H52" s="632"/>
      <c r="I52" s="633"/>
      <c r="K52" s="633"/>
      <c r="L52" s="641"/>
      <c r="M52" s="633"/>
    </row>
    <row r="53" spans="2:25" s="52" customFormat="1" ht="12" hidden="1">
      <c r="B53" s="53"/>
      <c r="C53" s="53"/>
      <c r="D53" s="636"/>
      <c r="E53" s="636"/>
      <c r="F53" s="354"/>
      <c r="G53" s="631"/>
      <c r="H53" s="632"/>
      <c r="I53" s="633"/>
      <c r="K53" s="633"/>
      <c r="L53" s="641"/>
      <c r="M53" s="633"/>
    </row>
    <row r="54" spans="2:25" s="52" customFormat="1" ht="12" customHeight="1">
      <c r="B54" s="675" t="s">
        <v>518</v>
      </c>
      <c r="C54" s="630"/>
      <c r="D54" s="651"/>
      <c r="E54" s="651"/>
      <c r="F54" s="676">
        <f ca="1">F23-F51</f>
        <v>111246</v>
      </c>
      <c r="G54" s="664"/>
      <c r="H54" s="677"/>
      <c r="I54" s="666"/>
      <c r="J54" s="678">
        <f ca="1">J23-J51</f>
        <v>102214.75</v>
      </c>
      <c r="K54" s="666"/>
      <c r="L54" s="640">
        <f ca="1">F54-J54</f>
        <v>9031.25</v>
      </c>
      <c r="M54" s="666"/>
      <c r="N54" s="679"/>
      <c r="O54" s="679"/>
      <c r="P54" s="679"/>
      <c r="Q54" s="679"/>
      <c r="R54" s="679"/>
      <c r="S54" s="679"/>
      <c r="T54" s="679"/>
      <c r="U54" s="679"/>
      <c r="V54" s="679"/>
      <c r="W54" s="679"/>
      <c r="X54" s="679"/>
      <c r="Y54" s="679"/>
    </row>
    <row r="55" spans="2:25" s="52" customFormat="1" ht="12" customHeight="1">
      <c r="B55" s="680"/>
      <c r="C55" s="680"/>
      <c r="D55" s="636"/>
      <c r="E55" s="636"/>
      <c r="F55" s="354"/>
      <c r="G55" s="631"/>
      <c r="H55" s="632"/>
      <c r="I55" s="633"/>
      <c r="K55" s="633"/>
      <c r="L55" s="640"/>
      <c r="M55" s="633"/>
    </row>
    <row r="56" spans="2:25" s="52" customFormat="1" ht="12" hidden="1">
      <c r="B56" s="680"/>
      <c r="C56" s="680"/>
      <c r="D56" s="636"/>
      <c r="E56" s="636"/>
      <c r="F56" s="354"/>
      <c r="G56" s="631"/>
      <c r="H56" s="632"/>
      <c r="I56" s="633"/>
      <c r="K56" s="633"/>
      <c r="L56" s="640"/>
      <c r="M56" s="633"/>
    </row>
    <row r="57" spans="2:25" s="52" customFormat="1" ht="5.0999999999999996" hidden="1" customHeight="1">
      <c r="B57" s="53"/>
      <c r="C57" s="53"/>
      <c r="D57" s="636"/>
      <c r="E57" s="636"/>
      <c r="F57" s="354"/>
      <c r="G57" s="631"/>
      <c r="H57" s="632"/>
      <c r="I57" s="633"/>
      <c r="K57" s="633"/>
      <c r="L57" s="640"/>
      <c r="M57" s="633"/>
    </row>
    <row r="58" spans="2:25" s="52" customFormat="1" ht="12" hidden="1">
      <c r="B58" s="53"/>
      <c r="C58" s="53"/>
      <c r="D58" s="636"/>
      <c r="E58" s="636"/>
      <c r="F58" s="354"/>
      <c r="G58" s="631"/>
      <c r="H58" s="632"/>
      <c r="I58" s="633"/>
      <c r="K58" s="633"/>
      <c r="L58" s="640"/>
      <c r="M58" s="633"/>
    </row>
    <row r="59" spans="2:25" s="52" customFormat="1" ht="12">
      <c r="B59" s="681" t="s">
        <v>519</v>
      </c>
      <c r="C59" s="53"/>
      <c r="D59" s="636"/>
      <c r="E59" s="636"/>
      <c r="F59" s="354"/>
      <c r="G59" s="631"/>
      <c r="H59" s="632"/>
      <c r="I59" s="633"/>
      <c r="K59" s="633"/>
      <c r="L59" s="640">
        <f>276000-'001'!AJ164</f>
        <v>-89000</v>
      </c>
      <c r="M59" s="633"/>
      <c r="N59" s="682" t="s">
        <v>520</v>
      </c>
    </row>
    <row r="60" spans="2:25" s="52" customFormat="1" ht="5.0999999999999996" customHeight="1">
      <c r="B60" s="53"/>
      <c r="C60" s="53"/>
      <c r="D60" s="636"/>
      <c r="E60" s="636"/>
      <c r="F60" s="354"/>
      <c r="G60" s="631"/>
      <c r="H60" s="632"/>
      <c r="I60" s="633"/>
      <c r="K60" s="633"/>
      <c r="L60" s="640"/>
      <c r="M60" s="633"/>
    </row>
    <row r="61" spans="2:25" s="52" customFormat="1" ht="12" customHeight="1">
      <c r="B61" s="61" t="s">
        <v>521</v>
      </c>
      <c r="C61" s="53"/>
      <c r="D61" s="636"/>
      <c r="E61" s="636"/>
      <c r="F61" s="354"/>
      <c r="G61" s="631"/>
      <c r="H61" s="632"/>
      <c r="I61" s="633"/>
      <c r="K61" s="633"/>
      <c r="L61" s="640">
        <f ca="1">L59-L54</f>
        <v>-98031.25</v>
      </c>
      <c r="M61" s="633"/>
      <c r="N61" s="682" t="s">
        <v>522</v>
      </c>
    </row>
    <row r="62" spans="2:25" s="52" customFormat="1" ht="12" customHeight="1">
      <c r="B62" s="61"/>
      <c r="C62" s="53"/>
      <c r="D62" s="636"/>
      <c r="E62" s="636"/>
      <c r="F62" s="354"/>
      <c r="G62" s="631"/>
      <c r="H62" s="632"/>
      <c r="I62" s="633"/>
      <c r="K62" s="633"/>
      <c r="L62" s="640"/>
      <c r="M62" s="633"/>
    </row>
  </sheetData>
  <sheetProtection selectLockedCells="1" selectUnlockedCells="1"/>
  <mergeCells count="6">
    <mergeCell ref="B3:G3"/>
    <mergeCell ref="B5:E5"/>
    <mergeCell ref="B6:F6"/>
    <mergeCell ref="B7:F7"/>
    <mergeCell ref="B9:G9"/>
    <mergeCell ref="B10:G10"/>
  </mergeCells>
  <printOptions horizontalCentered="1"/>
  <pageMargins left="0.75" right="0.75" top="1.5333333333333332" bottom="1.1777777777777776" header="0.4" footer="0.35"/>
  <pageSetup scale="85" firstPageNumber="0" orientation="landscape" horizontalDpi="300" verticalDpi="300"/>
  <headerFooter alignWithMargins="0">
    <oddHeader>&amp;L&amp;"Arial black,Bold"&amp;12HARMONY
Community Development District</oddHeader>
    <oddFooter>&amp;L&amp;8     Fiscal Year 2017
&amp;10     Annual Operating and Debt Service Budget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BF155"/>
  <sheetViews>
    <sheetView topLeftCell="R25" zoomScale="90" zoomScaleNormal="90" workbookViewId="0"/>
  </sheetViews>
  <sheetFormatPr defaultRowHeight="12.75"/>
  <cols>
    <col min="1" max="4" width="0" style="271" hidden="1" customWidth="1"/>
    <col min="5" max="8" width="0" style="272" hidden="1" customWidth="1"/>
    <col min="9" max="10" width="0" style="271" hidden="1" customWidth="1"/>
    <col min="11" max="11" width="0" style="273" hidden="1" customWidth="1"/>
    <col min="12" max="13" width="0" style="274" hidden="1" customWidth="1"/>
    <col min="14" max="17" width="0" style="271" hidden="1" customWidth="1"/>
    <col min="18" max="18" width="35.7109375" style="271" customWidth="1"/>
    <col min="19" max="20" width="0" style="271" hidden="1" customWidth="1"/>
    <col min="21" max="21" width="0.42578125" style="271" customWidth="1"/>
    <col min="22" max="27" width="0" style="271" hidden="1" customWidth="1"/>
    <col min="28" max="28" width="11.7109375" style="271" customWidth="1"/>
    <col min="29" max="29" width="0.42578125" style="271" customWidth="1"/>
    <col min="30" max="31" width="0" style="271" hidden="1" customWidth="1"/>
    <col min="32" max="32" width="11.7109375" style="271" customWidth="1"/>
    <col min="33" max="33" width="0.42578125" style="271" customWidth="1"/>
    <col min="34" max="34" width="11.7109375" style="271" customWidth="1"/>
    <col min="35" max="35" width="0.42578125" style="271" customWidth="1"/>
    <col min="36" max="36" width="11.7109375" style="271" customWidth="1"/>
    <col min="37" max="37" width="0.42578125" style="271" customWidth="1"/>
    <col min="38" max="38" width="11.7109375" style="271" customWidth="1"/>
    <col min="39" max="39" width="0.42578125" style="271" customWidth="1"/>
    <col min="40" max="41" width="0" style="271" hidden="1" customWidth="1"/>
    <col min="42" max="42" width="11.7109375" style="271" customWidth="1"/>
    <col min="43" max="43" width="0" style="271" hidden="1" customWidth="1"/>
    <col min="44" max="44" width="0.85546875" style="271" customWidth="1"/>
    <col min="45" max="45" width="58.7109375" style="274" customWidth="1"/>
    <col min="46" max="58" width="0" style="271" hidden="1" customWidth="1"/>
    <col min="59" max="16384" width="9.140625" style="271"/>
  </cols>
  <sheetData>
    <row r="1" spans="1:58" s="275" customFormat="1" hidden="1">
      <c r="A1" s="275" t="s">
        <v>523</v>
      </c>
      <c r="B1" s="276" t="s">
        <v>53</v>
      </c>
      <c r="C1" s="275" t="s">
        <v>31</v>
      </c>
      <c r="D1" s="275" t="s">
        <v>31</v>
      </c>
      <c r="E1" s="275" t="s">
        <v>31</v>
      </c>
      <c r="F1" s="275" t="s">
        <v>31</v>
      </c>
      <c r="G1" s="277" t="s">
        <v>234</v>
      </c>
      <c r="H1" s="275" t="s">
        <v>31</v>
      </c>
      <c r="I1" s="275" t="s">
        <v>31</v>
      </c>
      <c r="J1" s="275" t="s">
        <v>31</v>
      </c>
      <c r="K1" s="278" t="s">
        <v>31</v>
      </c>
      <c r="L1" s="275" t="s">
        <v>235</v>
      </c>
      <c r="M1" s="275" t="s">
        <v>235</v>
      </c>
      <c r="N1" s="275" t="s">
        <v>235</v>
      </c>
      <c r="O1" s="275" t="s">
        <v>235</v>
      </c>
      <c r="P1" s="275" t="str">
        <f>IF($F$9="no","Hide","Show")</f>
        <v>Hide</v>
      </c>
      <c r="Q1" s="275" t="str">
        <f>P1</f>
        <v>Hide</v>
      </c>
      <c r="R1" s="275" t="s">
        <v>62</v>
      </c>
      <c r="S1" s="275" t="s">
        <v>31</v>
      </c>
      <c r="T1" s="275" t="s">
        <v>31</v>
      </c>
      <c r="V1" s="275" t="str">
        <f>IF($F$7=4,"Show","Hide")</f>
        <v>Hide</v>
      </c>
      <c r="W1" s="275" t="str">
        <f>V1</f>
        <v>Hide</v>
      </c>
      <c r="X1" s="275" t="str">
        <f>IF($F$7&gt;=3,"Show","Hide")</f>
        <v>Hide</v>
      </c>
      <c r="Y1" s="275" t="str">
        <f>X1</f>
        <v>Hide</v>
      </c>
      <c r="Z1" s="275" t="str">
        <f>IF($F$7&gt;=2,"Show","Hide")</f>
        <v>Hide</v>
      </c>
      <c r="AA1" s="275" t="str">
        <f>Z1</f>
        <v>Hide</v>
      </c>
      <c r="AB1" s="275" t="str">
        <f>IF($F$7&gt;=1,"Show","Hide")</f>
        <v>Show</v>
      </c>
      <c r="AC1" s="275" t="str">
        <f>AB1</f>
        <v>Show</v>
      </c>
      <c r="AD1" s="275" t="str">
        <f>IF($F$8&gt;=2,"Show","Hide")</f>
        <v>Hide</v>
      </c>
      <c r="AE1" s="275" t="str">
        <f>AD1</f>
        <v>Hide</v>
      </c>
      <c r="AF1" s="275" t="str">
        <f>IF($F$8&gt;=1,"Show","Hide")</f>
        <v>Show</v>
      </c>
      <c r="AG1" s="275" t="str">
        <f>AF1</f>
        <v>Show</v>
      </c>
      <c r="AH1" s="275" t="str">
        <f>IF($F$9="no","Show","hide")</f>
        <v>Show</v>
      </c>
      <c r="AI1" s="275" t="str">
        <f>AH1</f>
        <v>Show</v>
      </c>
      <c r="AJ1" s="279" t="str">
        <f>"Data+"&amp;AH1</f>
        <v>Data+Show</v>
      </c>
      <c r="AK1" s="279" t="str">
        <f>AH1</f>
        <v>Show</v>
      </c>
      <c r="AL1" s="275" t="s">
        <v>62</v>
      </c>
      <c r="AM1" s="275" t="str">
        <f>AL1</f>
        <v>Show</v>
      </c>
      <c r="AN1" s="275" t="s">
        <v>31</v>
      </c>
      <c r="AO1" s="275" t="s">
        <v>31</v>
      </c>
      <c r="AP1" s="275" t="s">
        <v>236</v>
      </c>
      <c r="AQ1" s="275" t="s">
        <v>31</v>
      </c>
      <c r="AS1" s="275" t="s">
        <v>236</v>
      </c>
      <c r="AT1" s="275" t="s">
        <v>237</v>
      </c>
      <c r="AU1" s="275" t="s">
        <v>237</v>
      </c>
      <c r="AV1" s="275" t="s">
        <v>237</v>
      </c>
      <c r="AW1" s="275" t="s">
        <v>237</v>
      </c>
      <c r="AX1" s="275" t="s">
        <v>237</v>
      </c>
      <c r="AY1" s="275" t="s">
        <v>237</v>
      </c>
      <c r="AZ1" s="275" t="s">
        <v>237</v>
      </c>
      <c r="BA1" s="275" t="s">
        <v>237</v>
      </c>
      <c r="BB1" s="275" t="s">
        <v>237</v>
      </c>
      <c r="BC1" s="275" t="s">
        <v>237</v>
      </c>
      <c r="BD1" s="275" t="s">
        <v>237</v>
      </c>
      <c r="BE1" s="275" t="s">
        <v>237</v>
      </c>
      <c r="BF1" s="275" t="s">
        <v>237</v>
      </c>
    </row>
    <row r="2" spans="1:58" s="274" customFormat="1" ht="12" hidden="1">
      <c r="A2" s="281"/>
      <c r="B2" s="274" t="str">
        <f>IF(AQ128=0,"hidesheet","Hide")</f>
        <v>Hide</v>
      </c>
      <c r="C2" s="282" t="s">
        <v>135</v>
      </c>
      <c r="D2" s="282"/>
      <c r="E2" s="272"/>
      <c r="F2" s="272"/>
      <c r="G2" s="272"/>
      <c r="H2" s="283"/>
      <c r="I2" s="275"/>
      <c r="J2" s="275"/>
      <c r="K2" s="273"/>
      <c r="T2" s="274" t="str">
        <f>TEXT("..C"&amp;$F$5,"MM/DD/YYYY")</f>
        <v>..C02/29/2016</v>
      </c>
      <c r="V2" s="274" t="str">
        <f>I9</f>
        <v>..C9/30/2012</v>
      </c>
      <c r="X2" s="274" t="str">
        <f>I8</f>
        <v>..C9/30/2013</v>
      </c>
      <c r="Z2" s="274" t="str">
        <f>I7</f>
        <v>..C9/30/2014</v>
      </c>
      <c r="AB2" s="274" t="str">
        <f>I6</f>
        <v>..C9/30/2015</v>
      </c>
      <c r="AD2" s="274" t="str">
        <f>AB2</f>
        <v>..C9/30/2015</v>
      </c>
      <c r="AF2" s="274" t="str">
        <f>I5</f>
        <v>..C9/30/2016</v>
      </c>
      <c r="AH2" s="274" t="str">
        <f>TEXT("..C"&amp;$F$5,"MM/DD/YYYY")</f>
        <v>..C02/29/2016</v>
      </c>
      <c r="AJ2" s="274" t="str">
        <f>AH2</f>
        <v>..C02/29/2016</v>
      </c>
      <c r="AP2" s="275"/>
    </row>
    <row r="3" spans="1:58" s="274" customFormat="1" ht="12" hidden="1">
      <c r="B3" s="274" t="s">
        <v>31</v>
      </c>
      <c r="C3" s="282" t="s">
        <v>136</v>
      </c>
      <c r="D3" s="282"/>
      <c r="E3" s="272"/>
      <c r="F3" s="272"/>
      <c r="G3" s="272"/>
      <c r="H3" s="284" t="s">
        <v>238</v>
      </c>
      <c r="I3" s="285" t="s">
        <v>239</v>
      </c>
      <c r="J3" s="285" t="s">
        <v>240</v>
      </c>
      <c r="K3" s="273"/>
      <c r="T3" s="274" t="str">
        <f>$J$4</f>
        <v>10/1/2015..02/29/2016</v>
      </c>
      <c r="V3" s="274" t="s">
        <v>241</v>
      </c>
      <c r="X3" s="274" t="s">
        <v>242</v>
      </c>
      <c r="Z3" s="274" t="s">
        <v>243</v>
      </c>
      <c r="AB3" s="274" t="s">
        <v>244</v>
      </c>
      <c r="AD3" s="274" t="s">
        <v>244</v>
      </c>
      <c r="AF3" s="274" t="s">
        <v>245</v>
      </c>
      <c r="AH3" s="274" t="str">
        <f>$J$4</f>
        <v>10/1/2015..02/29/2016</v>
      </c>
      <c r="AJ3" s="274" t="s">
        <v>246</v>
      </c>
      <c r="AN3" s="275" t="s">
        <v>247</v>
      </c>
      <c r="AO3" s="275"/>
      <c r="AP3" s="275" t="s">
        <v>247</v>
      </c>
    </row>
    <row r="4" spans="1:58" s="274" customFormat="1" ht="15" hidden="1" customHeight="1">
      <c r="B4" s="274" t="s">
        <v>31</v>
      </c>
      <c r="E4" s="272" t="s">
        <v>248</v>
      </c>
      <c r="F4" s="286" t="s">
        <v>249</v>
      </c>
      <c r="G4" s="283"/>
      <c r="H4" s="283" t="str">
        <f>F4</f>
        <v>2017</v>
      </c>
      <c r="I4" s="274" t="str">
        <f t="shared" ref="I4:I10" si="0">"..C9/30/"&amp;H4</f>
        <v>..C9/30/2017</v>
      </c>
      <c r="J4" s="274" t="str">
        <f>"10/1/"&amp;H6&amp;".."&amp;F5</f>
        <v>10/1/2015..02/29/2016</v>
      </c>
      <c r="K4" s="273"/>
      <c r="T4" s="275" t="s">
        <v>251</v>
      </c>
      <c r="V4" s="275" t="s">
        <v>251</v>
      </c>
      <c r="W4" s="288"/>
      <c r="X4" s="275" t="s">
        <v>251</v>
      </c>
      <c r="Y4" s="288"/>
      <c r="Z4" s="275" t="s">
        <v>251</v>
      </c>
      <c r="AA4" s="288"/>
      <c r="AB4" s="275" t="s">
        <v>251</v>
      </c>
      <c r="AC4" s="288"/>
      <c r="AD4" s="275" t="s">
        <v>252</v>
      </c>
      <c r="AE4" s="288"/>
      <c r="AF4" s="275" t="s">
        <v>252</v>
      </c>
      <c r="AG4" s="275"/>
      <c r="AH4" s="275" t="s">
        <v>251</v>
      </c>
      <c r="AI4" s="275"/>
      <c r="AJ4" s="275" t="s">
        <v>252</v>
      </c>
      <c r="AK4" s="275"/>
      <c r="AL4" s="275" t="s">
        <v>252</v>
      </c>
      <c r="AM4" s="275"/>
      <c r="AN4" s="275" t="s">
        <v>252</v>
      </c>
      <c r="AO4" s="275"/>
      <c r="AP4" s="275" t="s">
        <v>252</v>
      </c>
      <c r="AQ4" s="275"/>
      <c r="AR4" s="288"/>
      <c r="AS4" s="288"/>
    </row>
    <row r="5" spans="1:58" s="274" customFormat="1" ht="15" hidden="1" customHeight="1">
      <c r="B5" s="274" t="s">
        <v>31</v>
      </c>
      <c r="C5" s="274" t="s">
        <v>253</v>
      </c>
      <c r="D5" s="274" t="s">
        <v>74</v>
      </c>
      <c r="E5" s="272" t="s">
        <v>87</v>
      </c>
      <c r="F5" s="512" t="s">
        <v>481</v>
      </c>
      <c r="G5" s="513"/>
      <c r="H5" s="283">
        <f t="shared" ref="H5:H10" si="1">H4-1</f>
        <v>2016</v>
      </c>
      <c r="I5" s="274" t="str">
        <f t="shared" si="0"/>
        <v>..C9/30/2016</v>
      </c>
      <c r="J5" s="274" t="s">
        <v>254</v>
      </c>
      <c r="K5" s="273"/>
      <c r="O5" s="288"/>
      <c r="P5" s="288"/>
      <c r="Q5" s="288"/>
      <c r="R5" s="288"/>
      <c r="S5" s="288"/>
      <c r="T5" s="275" t="str">
        <f>AF5</f>
        <v>..C9/30/2015</v>
      </c>
      <c r="U5" s="288"/>
      <c r="V5" s="275" t="str">
        <f>I10</f>
        <v>..C9/30/2011</v>
      </c>
      <c r="W5" s="275"/>
      <c r="X5" s="275" t="str">
        <f>V2</f>
        <v>..C9/30/2012</v>
      </c>
      <c r="Y5" s="275"/>
      <c r="Z5" s="275" t="str">
        <f>X2</f>
        <v>..C9/30/2013</v>
      </c>
      <c r="AA5" s="275"/>
      <c r="AB5" s="275" t="str">
        <f>Z2</f>
        <v>..C9/30/2014</v>
      </c>
      <c r="AC5" s="275"/>
      <c r="AD5" s="275" t="str">
        <f>AB5</f>
        <v>..C9/30/2014</v>
      </c>
      <c r="AE5" s="275"/>
      <c r="AF5" s="275" t="str">
        <f>AD2</f>
        <v>..C9/30/2015</v>
      </c>
      <c r="AG5" s="292"/>
      <c r="AH5" s="275" t="str">
        <f>AF5</f>
        <v>..C9/30/2015</v>
      </c>
      <c r="AI5" s="288"/>
      <c r="AJ5" s="275" t="e">
        <f>I11</f>
        <v>#VALUE!</v>
      </c>
      <c r="AK5" s="288"/>
      <c r="AL5" s="288"/>
      <c r="AM5" s="288"/>
      <c r="AN5" s="275" t="str">
        <f>$I$4</f>
        <v>..C9/30/2017</v>
      </c>
      <c r="AO5" s="275"/>
      <c r="AP5" s="275" t="str">
        <f>$I$4</f>
        <v>..C9/30/2017</v>
      </c>
      <c r="AQ5" s="288"/>
      <c r="AR5" s="288"/>
      <c r="AS5" s="288"/>
    </row>
    <row r="6" spans="1:58" s="274" customFormat="1" ht="12" hidden="1">
      <c r="B6" s="274" t="s">
        <v>31</v>
      </c>
      <c r="C6" s="274" t="s">
        <v>255</v>
      </c>
      <c r="D6" s="274" t="s">
        <v>57</v>
      </c>
      <c r="E6" s="272" t="s">
        <v>256</v>
      </c>
      <c r="F6" s="286" t="s">
        <v>92</v>
      </c>
      <c r="G6" s="283"/>
      <c r="H6" s="283">
        <f t="shared" si="1"/>
        <v>2015</v>
      </c>
      <c r="I6" s="274" t="str">
        <f t="shared" si="0"/>
        <v>..C9/30/2015</v>
      </c>
      <c r="J6" s="274" t="s">
        <v>257</v>
      </c>
      <c r="K6" s="273"/>
      <c r="O6" s="288"/>
      <c r="P6" s="288"/>
      <c r="Q6" s="288"/>
      <c r="R6" s="288"/>
      <c r="S6" s="288"/>
      <c r="T6" s="288"/>
      <c r="U6" s="288"/>
      <c r="V6" s="275"/>
      <c r="X6" s="275"/>
      <c r="Z6" s="275"/>
      <c r="AB6" s="275"/>
      <c r="AD6" s="275" t="s">
        <v>99</v>
      </c>
      <c r="AF6" s="275" t="s">
        <v>99</v>
      </c>
      <c r="AH6" s="275"/>
      <c r="AJ6" s="275" t="s">
        <v>99</v>
      </c>
      <c r="AL6" s="275"/>
      <c r="AN6" s="275" t="s">
        <v>99</v>
      </c>
      <c r="AO6" s="275"/>
      <c r="AP6" s="275" t="s">
        <v>99</v>
      </c>
    </row>
    <row r="7" spans="1:58" s="274" customFormat="1" ht="12" hidden="1">
      <c r="B7" s="274" t="s">
        <v>31</v>
      </c>
      <c r="C7" s="274" t="s">
        <v>65</v>
      </c>
      <c r="D7" s="274" t="s">
        <v>60</v>
      </c>
      <c r="E7" s="272" t="s">
        <v>258</v>
      </c>
      <c r="F7" s="294">
        <v>1</v>
      </c>
      <c r="G7" s="283"/>
      <c r="H7" s="283">
        <f t="shared" si="1"/>
        <v>2014</v>
      </c>
      <c r="I7" s="274" t="str">
        <f t="shared" si="0"/>
        <v>..C9/30/2014</v>
      </c>
      <c r="J7" s="274" t="s">
        <v>247</v>
      </c>
      <c r="K7" s="273"/>
      <c r="V7" s="275"/>
      <c r="X7" s="275"/>
      <c r="Z7" s="275"/>
      <c r="AB7" s="275"/>
      <c r="AD7" s="275" t="s">
        <v>260</v>
      </c>
      <c r="AF7" s="275" t="s">
        <v>260</v>
      </c>
      <c r="AH7" s="275"/>
      <c r="AN7" s="275" t="s">
        <v>260</v>
      </c>
      <c r="AO7" s="275"/>
      <c r="AP7" s="275" t="s">
        <v>260</v>
      </c>
    </row>
    <row r="8" spans="1:58" s="274" customFormat="1" ht="12" hidden="1">
      <c r="B8" s="274" t="s">
        <v>31</v>
      </c>
      <c r="C8" s="274" t="s">
        <v>261</v>
      </c>
      <c r="D8" s="274" t="s">
        <v>99</v>
      </c>
      <c r="E8" s="272" t="s">
        <v>262</v>
      </c>
      <c r="F8" s="294">
        <v>1</v>
      </c>
      <c r="G8" s="283"/>
      <c r="H8" s="283">
        <f t="shared" si="1"/>
        <v>2013</v>
      </c>
      <c r="I8" s="274" t="str">
        <f t="shared" si="0"/>
        <v>..C9/30/2013</v>
      </c>
      <c r="K8" s="273"/>
      <c r="P8" s="296"/>
      <c r="Q8" s="296"/>
      <c r="V8" s="275"/>
      <c r="X8" s="275"/>
      <c r="Z8" s="275"/>
      <c r="AB8" s="275"/>
      <c r="AD8" s="275" t="str">
        <f>RIGHT(AD2,4)&amp;"BUDA"</f>
        <v>2015BUDA</v>
      </c>
      <c r="AF8" s="275" t="str">
        <f>RIGHT(AF2,4)&amp;"BUDA"</f>
        <v>2016BUDA</v>
      </c>
      <c r="AH8" s="275"/>
    </row>
    <row r="9" spans="1:58" s="274" customFormat="1" ht="12" hidden="1">
      <c r="B9" s="274" t="s">
        <v>31</v>
      </c>
      <c r="C9" s="274" t="s">
        <v>263</v>
      </c>
      <c r="D9" s="274" t="s">
        <v>59</v>
      </c>
      <c r="E9" s="272" t="s">
        <v>264</v>
      </c>
      <c r="F9" s="286" t="s">
        <v>92</v>
      </c>
      <c r="G9" s="283"/>
      <c r="H9" s="283">
        <f t="shared" si="1"/>
        <v>2012</v>
      </c>
      <c r="I9" s="274" t="str">
        <f t="shared" si="0"/>
        <v>..C9/30/2012</v>
      </c>
      <c r="K9" s="273"/>
      <c r="P9" s="296"/>
      <c r="Q9" s="296"/>
    </row>
    <row r="10" spans="1:58" s="274" customFormat="1" hidden="1">
      <c r="B10" s="274" t="s">
        <v>31</v>
      </c>
      <c r="C10" s="34" t="s">
        <v>265</v>
      </c>
      <c r="D10" s="274" t="s">
        <v>135</v>
      </c>
      <c r="E10" s="272" t="s">
        <v>266</v>
      </c>
      <c r="F10" s="286" t="s">
        <v>92</v>
      </c>
      <c r="G10" s="283"/>
      <c r="H10" s="283">
        <f t="shared" si="1"/>
        <v>2011</v>
      </c>
      <c r="I10" s="274" t="str">
        <f t="shared" si="0"/>
        <v>..C9/30/2011</v>
      </c>
      <c r="K10" s="273"/>
      <c r="P10" s="296"/>
      <c r="Q10" s="296"/>
    </row>
    <row r="11" spans="1:58" s="274" customFormat="1" hidden="1">
      <c r="B11" s="274" t="s">
        <v>31</v>
      </c>
      <c r="C11" s="34" t="s">
        <v>267</v>
      </c>
      <c r="D11" s="274" t="s">
        <v>136</v>
      </c>
      <c r="E11" s="272" t="s">
        <v>268</v>
      </c>
      <c r="F11" s="286" t="s">
        <v>91</v>
      </c>
      <c r="G11" s="283"/>
      <c r="H11" s="283" t="e">
        <f>RIGHT(I11,4)</f>
        <v>#VALUE!</v>
      </c>
      <c r="I11" s="274" t="e">
        <f>"..C9/30/"&amp;IF(MONTH(F5)&lt;10,YEAR(F5),YEAR(F5)+1)</f>
        <v>#VALUE!</v>
      </c>
      <c r="K11" s="273"/>
      <c r="P11" s="296"/>
      <c r="Q11" s="296"/>
    </row>
    <row r="12" spans="1:58" s="274" customFormat="1" ht="13.5" hidden="1">
      <c r="B12" s="274" t="s">
        <v>31</v>
      </c>
      <c r="E12" s="272" t="s">
        <v>269</v>
      </c>
      <c r="F12" s="286" t="s">
        <v>99</v>
      </c>
      <c r="G12" s="283"/>
      <c r="H12" s="283"/>
      <c r="J12" s="297" t="s">
        <v>106</v>
      </c>
      <c r="K12" s="273"/>
      <c r="P12" s="296"/>
      <c r="Q12" s="296"/>
    </row>
    <row r="13" spans="1:58" s="274" customFormat="1" ht="13.5" hidden="1">
      <c r="B13" s="274" t="s">
        <v>31</v>
      </c>
      <c r="E13" s="272" t="s">
        <v>270</v>
      </c>
      <c r="F13" s="286" t="s">
        <v>91</v>
      </c>
      <c r="G13" s="283"/>
      <c r="H13" s="283"/>
      <c r="J13" s="298" t="s">
        <v>271</v>
      </c>
      <c r="K13" s="273"/>
      <c r="P13" s="296"/>
      <c r="Q13" s="296"/>
    </row>
    <row r="14" spans="1:58" s="274" customFormat="1" ht="12" hidden="1">
      <c r="B14" s="274" t="s">
        <v>31</v>
      </c>
      <c r="E14" s="272" t="s">
        <v>97</v>
      </c>
      <c r="F14" s="286" t="s">
        <v>92</v>
      </c>
      <c r="G14" s="283"/>
      <c r="H14" s="283"/>
      <c r="K14" s="273"/>
      <c r="P14" s="296"/>
      <c r="Q14" s="296"/>
    </row>
    <row r="15" spans="1:58" s="274" customFormat="1" ht="12" hidden="1">
      <c r="B15" s="274" t="s">
        <v>31</v>
      </c>
      <c r="E15" s="272" t="s">
        <v>272</v>
      </c>
      <c r="F15" s="286" t="s">
        <v>92</v>
      </c>
      <c r="G15" s="283"/>
      <c r="H15" s="283"/>
      <c r="K15" s="273"/>
      <c r="P15" s="296"/>
      <c r="Q15" s="296"/>
    </row>
    <row r="16" spans="1:58" s="274" customFormat="1" ht="12" hidden="1">
      <c r="B16" s="274" t="s">
        <v>31</v>
      </c>
      <c r="E16" s="272" t="s">
        <v>102</v>
      </c>
      <c r="F16" s="286" t="s">
        <v>92</v>
      </c>
      <c r="G16" s="283"/>
      <c r="H16" s="283"/>
      <c r="K16" s="273"/>
      <c r="P16" s="296"/>
      <c r="Q16" s="296"/>
    </row>
    <row r="17" spans="1:45" s="274" customFormat="1" ht="12" hidden="1">
      <c r="B17" s="274" t="s">
        <v>31</v>
      </c>
      <c r="E17" s="272" t="s">
        <v>65</v>
      </c>
      <c r="F17" s="300" t="str">
        <f>"202"</f>
        <v>202</v>
      </c>
      <c r="G17" s="272"/>
      <c r="H17" s="272"/>
      <c r="K17" s="273"/>
      <c r="P17" s="296"/>
      <c r="Q17" s="296"/>
    </row>
    <row r="18" spans="1:45" s="274" customFormat="1" ht="12" hidden="1">
      <c r="B18" s="274" t="s">
        <v>31</v>
      </c>
      <c r="E18" s="272"/>
      <c r="F18" s="272"/>
      <c r="G18" s="272"/>
      <c r="H18" s="272"/>
      <c r="K18" s="273"/>
      <c r="P18" s="296"/>
      <c r="Q18" s="296"/>
    </row>
    <row r="19" spans="1:45" s="274" customFormat="1" ht="12" hidden="1">
      <c r="B19" s="274" t="s">
        <v>31</v>
      </c>
      <c r="E19" s="301" t="s">
        <v>273</v>
      </c>
      <c r="F19" s="272"/>
      <c r="G19" s="272"/>
      <c r="H19" s="302" t="s">
        <v>274</v>
      </c>
      <c r="K19" s="273"/>
      <c r="O19" s="296"/>
      <c r="P19" s="296"/>
      <c r="Q19" s="296"/>
    </row>
    <row r="20" spans="1:45" s="274" customFormat="1" ht="12" hidden="1">
      <c r="B20" s="274" t="s">
        <v>31</v>
      </c>
      <c r="E20" s="272" t="s">
        <v>275</v>
      </c>
      <c r="F20" s="272"/>
      <c r="G20" s="272"/>
      <c r="H20" s="272" t="s">
        <v>524</v>
      </c>
      <c r="K20" s="273"/>
      <c r="O20" s="296"/>
      <c r="P20" s="296"/>
      <c r="Q20" s="296"/>
    </row>
    <row r="21" spans="1:45" s="274" customFormat="1" ht="12" hidden="1">
      <c r="B21" s="274" t="s">
        <v>31</v>
      </c>
      <c r="E21" s="272" t="s">
        <v>276</v>
      </c>
      <c r="F21" s="272"/>
      <c r="G21" s="272"/>
      <c r="H21" s="272" t="s">
        <v>78</v>
      </c>
      <c r="K21" s="273"/>
      <c r="O21" s="296"/>
      <c r="P21" s="296"/>
      <c r="Q21" s="296"/>
    </row>
    <row r="22" spans="1:45" s="274" customFormat="1" ht="12" hidden="1">
      <c r="B22" s="274" t="s">
        <v>31</v>
      </c>
      <c r="E22" s="272" t="s">
        <v>65</v>
      </c>
      <c r="F22" s="275" t="str">
        <f>IF(F17="",0,F17)</f>
        <v>202</v>
      </c>
      <c r="G22" s="272"/>
      <c r="H22" s="303" t="str">
        <f>IF(F12="*",H20,H21)</f>
        <v>2004 Debt Service Fund</v>
      </c>
      <c r="K22" s="273"/>
      <c r="O22" s="296"/>
      <c r="P22" s="296"/>
      <c r="Q22" s="296"/>
    </row>
    <row r="23" spans="1:45" s="274" customFormat="1" ht="12" hidden="1">
      <c r="B23" s="274" t="s">
        <v>31</v>
      </c>
      <c r="E23" s="272" t="s">
        <v>277</v>
      </c>
      <c r="F23" s="272"/>
      <c r="G23" s="272"/>
      <c r="H23" s="272"/>
      <c r="K23" s="273"/>
      <c r="AS23" s="514"/>
    </row>
    <row r="24" spans="1:45" s="274" customFormat="1" hidden="1">
      <c r="A24" s="274" t="s">
        <v>235</v>
      </c>
      <c r="B24" s="274" t="s">
        <v>31</v>
      </c>
      <c r="E24" s="272" t="s">
        <v>278</v>
      </c>
      <c r="F24" s="272"/>
      <c r="G24" s="277" t="s">
        <v>279</v>
      </c>
      <c r="H24" s="272"/>
      <c r="K24" s="273"/>
      <c r="T24" s="275"/>
      <c r="AJ24" s="277" t="s">
        <v>280</v>
      </c>
      <c r="AP24" s="277" t="s">
        <v>281</v>
      </c>
      <c r="AS24" s="277" t="s">
        <v>282</v>
      </c>
    </row>
    <row r="25" spans="1:45" s="274" customFormat="1" ht="15.75">
      <c r="B25" s="274" t="s">
        <v>62</v>
      </c>
      <c r="E25" s="272"/>
      <c r="F25" s="272"/>
      <c r="G25" s="277"/>
      <c r="H25" s="272"/>
      <c r="K25" s="273"/>
      <c r="O25" s="305" t="s">
        <v>283</v>
      </c>
      <c r="P25" s="1424" t="str">
        <f>IF(ISERROR(IF(AND(VALUE($F$22)&gt;399,VALUE($F$22)&lt;500),$J$13,$J$12)),"",IF(AND(VALUE($F$22)&gt;399,VALUE($F$22)&lt;500),$J$13,$J$12))</f>
        <v>Summary of Revenues, Expenditures and Changes in Fund Balances</v>
      </c>
      <c r="Q25" s="1424"/>
      <c r="R25" s="1424"/>
      <c r="S25" s="1424"/>
      <c r="T25" s="1424"/>
      <c r="U25" s="1424"/>
      <c r="V25" s="1424"/>
      <c r="W25" s="1424"/>
      <c r="X25" s="1424"/>
      <c r="Y25" s="1424"/>
      <c r="Z25" s="1424"/>
      <c r="AA25" s="1424"/>
      <c r="AB25" s="1424"/>
      <c r="AC25" s="1424"/>
      <c r="AD25" s="1424"/>
      <c r="AE25" s="1424"/>
      <c r="AF25" s="1424"/>
      <c r="AG25" s="1424"/>
      <c r="AH25" s="1424"/>
      <c r="AI25" s="1424"/>
      <c r="AJ25" s="1424"/>
      <c r="AK25" s="1424"/>
      <c r="AL25" s="1424"/>
      <c r="AM25" s="1424"/>
      <c r="AN25" s="1424"/>
      <c r="AO25" s="1424"/>
      <c r="AP25" s="1424"/>
      <c r="AS25" s="515"/>
    </row>
    <row r="26" spans="1:45" s="274" customFormat="1" ht="15.75">
      <c r="E26" s="272"/>
      <c r="F26" s="272"/>
      <c r="G26" s="277"/>
      <c r="H26" s="272"/>
      <c r="K26" s="273"/>
      <c r="O26" s="305" t="s">
        <v>284</v>
      </c>
      <c r="P26" s="1425" t="str">
        <f>H22</f>
        <v>2004 Debt Service Fund</v>
      </c>
      <c r="Q26" s="1425"/>
      <c r="R26" s="1425"/>
      <c r="S26" s="1425"/>
      <c r="T26" s="1425"/>
      <c r="U26" s="1425"/>
      <c r="V26" s="1425"/>
      <c r="W26" s="1425"/>
      <c r="X26" s="1425"/>
      <c r="Y26" s="1425"/>
      <c r="Z26" s="1425"/>
      <c r="AA26" s="1425"/>
      <c r="AB26" s="1425"/>
      <c r="AC26" s="1425"/>
      <c r="AD26" s="1425"/>
      <c r="AE26" s="1425"/>
      <c r="AF26" s="1425"/>
      <c r="AG26" s="1425"/>
      <c r="AH26" s="1425"/>
      <c r="AI26" s="1425"/>
      <c r="AJ26" s="1425"/>
      <c r="AK26" s="1425"/>
      <c r="AL26" s="1425"/>
      <c r="AM26" s="1425"/>
      <c r="AN26" s="1425"/>
      <c r="AO26" s="1425"/>
      <c r="AP26" s="1425"/>
      <c r="AS26" s="515"/>
    </row>
    <row r="27" spans="1:45" s="274" customFormat="1" ht="15.75">
      <c r="B27" s="274" t="s">
        <v>62</v>
      </c>
      <c r="E27" s="272"/>
      <c r="F27" s="272"/>
      <c r="G27" s="277"/>
      <c r="H27" s="272"/>
      <c r="K27" s="273"/>
      <c r="O27" s="305" t="s">
        <v>285</v>
      </c>
      <c r="P27" s="1425" t="str">
        <f>"Fiscal Year "&amp;F4&amp;" Proposed Budget"</f>
        <v>Fiscal Year 2017 Proposed Budget</v>
      </c>
      <c r="Q27" s="1425"/>
      <c r="R27" s="1425"/>
      <c r="S27" s="1425"/>
      <c r="T27" s="1425"/>
      <c r="U27" s="1425"/>
      <c r="V27" s="1425"/>
      <c r="W27" s="1425"/>
      <c r="X27" s="1425"/>
      <c r="Y27" s="1425"/>
      <c r="Z27" s="1425"/>
      <c r="AA27" s="1425"/>
      <c r="AB27" s="1425"/>
      <c r="AC27" s="1425"/>
      <c r="AD27" s="1425"/>
      <c r="AE27" s="1425"/>
      <c r="AF27" s="1425"/>
      <c r="AG27" s="1425"/>
      <c r="AH27" s="1425"/>
      <c r="AI27" s="1425"/>
      <c r="AJ27" s="1425"/>
      <c r="AK27" s="1425"/>
      <c r="AL27" s="1425"/>
      <c r="AM27" s="1425"/>
      <c r="AN27" s="1425"/>
      <c r="AO27" s="1425"/>
      <c r="AP27" s="1425"/>
      <c r="AS27" s="515"/>
    </row>
    <row r="28" spans="1:45" s="274" customFormat="1" ht="20.100000000000001" customHeight="1">
      <c r="E28" s="272"/>
      <c r="F28" s="272"/>
      <c r="G28" s="277"/>
      <c r="H28" s="272"/>
      <c r="K28" s="273"/>
      <c r="P28" s="516"/>
      <c r="Q28" s="516"/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16"/>
      <c r="AE28" s="516"/>
      <c r="AF28" s="516"/>
      <c r="AG28" s="516"/>
      <c r="AH28" s="516"/>
      <c r="AI28" s="516"/>
      <c r="AJ28" s="516"/>
      <c r="AK28" s="516"/>
      <c r="AL28" s="516"/>
      <c r="AM28" s="516"/>
      <c r="AN28" s="516"/>
      <c r="AO28" s="516"/>
      <c r="AP28" s="516"/>
      <c r="AS28" s="515"/>
    </row>
    <row r="29" spans="1:45" s="274" customFormat="1" ht="20.100000000000001" hidden="1" customHeight="1">
      <c r="B29" s="274" t="str">
        <f>IF(F15="yes","show","Hide")</f>
        <v>Hide</v>
      </c>
      <c r="E29" s="272"/>
      <c r="F29" s="272"/>
      <c r="G29" s="277"/>
      <c r="H29" s="272"/>
      <c r="K29" s="273"/>
      <c r="P29" s="1426" t="s">
        <v>286</v>
      </c>
      <c r="Q29" s="1426"/>
      <c r="R29" s="1426"/>
      <c r="S29" s="1426"/>
      <c r="T29" s="1426"/>
      <c r="U29" s="1426"/>
      <c r="V29" s="1426"/>
      <c r="W29" s="1426"/>
      <c r="X29" s="1426"/>
      <c r="Y29" s="1426"/>
      <c r="Z29" s="1426"/>
      <c r="AA29" s="1426"/>
      <c r="AB29" s="1426"/>
      <c r="AC29" s="1426"/>
      <c r="AD29" s="1426"/>
      <c r="AE29" s="1426"/>
      <c r="AF29" s="1426"/>
      <c r="AG29" s="1426"/>
      <c r="AH29" s="1426"/>
      <c r="AI29" s="1426"/>
      <c r="AJ29" s="1426"/>
      <c r="AK29" s="1426"/>
      <c r="AL29" s="1426"/>
      <c r="AM29" s="1426"/>
      <c r="AN29" s="1426"/>
      <c r="AO29" s="1426"/>
      <c r="AP29" s="1426"/>
      <c r="AS29" s="515"/>
    </row>
    <row r="30" spans="1:45" s="274" customFormat="1" ht="15" hidden="1" customHeight="1">
      <c r="B30" s="274" t="str">
        <f>B29</f>
        <v>Hide</v>
      </c>
      <c r="E30" s="272"/>
      <c r="F30" s="272"/>
      <c r="G30" s="272"/>
      <c r="H30" s="272"/>
      <c r="K30" s="273"/>
      <c r="T30" s="275"/>
      <c r="AS30" s="275"/>
    </row>
    <row r="31" spans="1:45" ht="15" customHeight="1">
      <c r="B31" s="274" t="s">
        <v>62</v>
      </c>
      <c r="O31" s="314"/>
      <c r="P31" s="314"/>
      <c r="Q31" s="314"/>
      <c r="AD31" s="356" t="str">
        <f>IF(AD145=0,"ADOPTED","AMENDED")</f>
        <v>ADOPTED</v>
      </c>
      <c r="AF31" s="356" t="str">
        <f>IF(AF145=0,"ADOPTED","AMENDED")</f>
        <v>ADOPTED</v>
      </c>
      <c r="AG31" s="356"/>
      <c r="AH31" s="517" t="s">
        <v>287</v>
      </c>
      <c r="AI31" s="518"/>
      <c r="AJ31" s="517" t="s">
        <v>288</v>
      </c>
      <c r="AK31" s="518"/>
      <c r="AL31" s="517" t="s">
        <v>289</v>
      </c>
      <c r="AM31" s="519"/>
      <c r="AN31" s="356" t="s">
        <v>290</v>
      </c>
      <c r="AO31" s="356"/>
      <c r="AP31" s="356" t="s">
        <v>291</v>
      </c>
      <c r="AQ31" s="356"/>
      <c r="AR31" s="320"/>
    </row>
    <row r="32" spans="1:45" ht="15" customHeight="1">
      <c r="B32" s="274" t="s">
        <v>62</v>
      </c>
      <c r="O32" s="320"/>
      <c r="P32" s="356" t="s">
        <v>292</v>
      </c>
      <c r="Q32" s="320"/>
      <c r="T32" s="356" t="s">
        <v>287</v>
      </c>
      <c r="V32" s="356" t="s">
        <v>287</v>
      </c>
      <c r="W32" s="356"/>
      <c r="X32" s="356" t="s">
        <v>287</v>
      </c>
      <c r="Y32" s="356"/>
      <c r="Z32" s="356" t="s">
        <v>287</v>
      </c>
      <c r="AA32" s="356"/>
      <c r="AB32" s="356" t="s">
        <v>287</v>
      </c>
      <c r="AC32" s="356"/>
      <c r="AD32" s="356" t="s">
        <v>293</v>
      </c>
      <c r="AF32" s="356" t="s">
        <v>293</v>
      </c>
      <c r="AG32" s="356"/>
      <c r="AH32" s="356" t="s">
        <v>294</v>
      </c>
      <c r="AI32" s="356"/>
      <c r="AJ32" s="520" t="str">
        <f>'001'!AJ32</f>
        <v>June thru</v>
      </c>
      <c r="AK32" s="356"/>
      <c r="AL32" s="356" t="s">
        <v>288</v>
      </c>
      <c r="AM32" s="272"/>
      <c r="AN32" s="356" t="s">
        <v>296</v>
      </c>
      <c r="AO32" s="356"/>
      <c r="AP32" s="356" t="s">
        <v>293</v>
      </c>
      <c r="AQ32" s="356"/>
      <c r="AR32" s="320"/>
    </row>
    <row r="33" spans="1:58" ht="15" customHeight="1">
      <c r="A33" s="274" t="s">
        <v>297</v>
      </c>
      <c r="B33" s="274" t="s">
        <v>62</v>
      </c>
      <c r="L33" s="323" t="s">
        <v>65</v>
      </c>
      <c r="M33" s="323" t="s">
        <v>298</v>
      </c>
      <c r="N33" s="324" t="s">
        <v>255</v>
      </c>
      <c r="O33" s="325" t="s">
        <v>253</v>
      </c>
      <c r="P33" s="517" t="s">
        <v>299</v>
      </c>
      <c r="Q33" s="320"/>
      <c r="R33" s="517" t="s">
        <v>300</v>
      </c>
      <c r="S33" s="521"/>
      <c r="T33" s="517" t="s">
        <v>301</v>
      </c>
      <c r="U33" s="521"/>
      <c r="V33" s="517" t="str">
        <f>"FY "&amp;RIGHT(V2,4)</f>
        <v>FY 2012</v>
      </c>
      <c r="W33" s="522"/>
      <c r="X33" s="517" t="str">
        <f>"FY "&amp;RIGHT(X2,4)</f>
        <v>FY 2013</v>
      </c>
      <c r="Y33" s="522"/>
      <c r="Z33" s="517" t="str">
        <f>"FY "&amp;RIGHT(Z2,4)</f>
        <v>FY 2014</v>
      </c>
      <c r="AA33" s="522"/>
      <c r="AB33" s="517" t="str">
        <f>'001'!AB33</f>
        <v>FY - 2015</v>
      </c>
      <c r="AC33" s="522"/>
      <c r="AD33" s="517" t="str">
        <f>'001'!AD33</f>
        <v>FY - 2015</v>
      </c>
      <c r="AE33" s="314"/>
      <c r="AF33" s="517" t="str">
        <f>'001'!AF33</f>
        <v>FY - 2016</v>
      </c>
      <c r="AG33" s="523"/>
      <c r="AH33" s="524" t="str">
        <f>'001'!AH33</f>
        <v>May – 2016</v>
      </c>
      <c r="AI33" s="523"/>
      <c r="AJ33" s="524" t="str">
        <f>'001'!AJ33</f>
        <v>EoFY – 2016</v>
      </c>
      <c r="AK33" s="523"/>
      <c r="AL33" s="517" t="str">
        <f>'001'!AL33</f>
        <v>FY-2016</v>
      </c>
      <c r="AM33" s="523"/>
      <c r="AN33" s="517" t="str">
        <f>'001'!AN33</f>
        <v>FY - 2017</v>
      </c>
      <c r="AO33" s="521"/>
      <c r="AP33" s="517" t="str">
        <f>'001'!AP33</f>
        <v>FY - 2017</v>
      </c>
      <c r="AQ33" s="521"/>
      <c r="AR33" s="525"/>
      <c r="AS33" s="517" t="s">
        <v>305</v>
      </c>
    </row>
    <row r="34" spans="1:58" ht="15" customHeight="1">
      <c r="B34" s="274" t="s">
        <v>62</v>
      </c>
      <c r="N34" s="332"/>
      <c r="O34" s="333"/>
      <c r="P34" s="521"/>
      <c r="Q34" s="320"/>
      <c r="R34" s="521"/>
      <c r="S34" s="521"/>
      <c r="T34" s="521"/>
      <c r="U34" s="521"/>
      <c r="V34" s="521"/>
      <c r="W34" s="522"/>
      <c r="X34" s="521"/>
      <c r="Y34" s="522"/>
      <c r="Z34" s="521"/>
      <c r="AA34" s="522"/>
      <c r="AB34" s="521"/>
      <c r="AC34" s="522"/>
      <c r="AD34" s="521"/>
      <c r="AE34" s="314"/>
      <c r="AF34" s="521"/>
      <c r="AG34" s="523"/>
      <c r="AH34" s="521"/>
      <c r="AI34" s="523"/>
      <c r="AJ34" s="521"/>
      <c r="AK34" s="523"/>
      <c r="AL34" s="521"/>
      <c r="AM34" s="523"/>
      <c r="AN34" s="521"/>
      <c r="AO34" s="521"/>
      <c r="AP34" s="521"/>
      <c r="AQ34" s="521"/>
      <c r="AR34" s="525"/>
      <c r="AS34" s="526"/>
    </row>
    <row r="35" spans="1:58" ht="20.100000000000001" hidden="1" customHeight="1">
      <c r="B35" s="274" t="s">
        <v>62</v>
      </c>
      <c r="N35" s="332"/>
      <c r="O35" s="335" t="s">
        <v>306</v>
      </c>
      <c r="P35" s="1427" t="s">
        <v>307</v>
      </c>
      <c r="Q35" s="1427"/>
      <c r="R35" s="1427"/>
      <c r="S35" s="1427"/>
      <c r="T35" s="1427"/>
      <c r="U35" s="1427"/>
      <c r="V35" s="1427"/>
      <c r="W35" s="1427"/>
      <c r="X35" s="1427"/>
      <c r="Y35" s="1427"/>
      <c r="Z35" s="1427"/>
      <c r="AA35" s="1427"/>
      <c r="AB35" s="1427"/>
      <c r="AC35" s="1427"/>
      <c r="AD35" s="1427"/>
      <c r="AE35" s="1427"/>
      <c r="AF35" s="1427"/>
      <c r="AG35" s="1427"/>
      <c r="AH35" s="1427"/>
      <c r="AI35" s="1427"/>
      <c r="AJ35" s="1427"/>
      <c r="AK35" s="1427"/>
      <c r="AL35" s="1427"/>
      <c r="AM35" s="1427"/>
      <c r="AN35" s="1427"/>
      <c r="AO35" s="1427"/>
      <c r="AP35" s="1427"/>
      <c r="AQ35" s="521"/>
      <c r="AR35" s="525"/>
      <c r="AS35" s="526"/>
    </row>
    <row r="36" spans="1:58" ht="15" customHeight="1">
      <c r="B36" s="274" t="s">
        <v>62</v>
      </c>
      <c r="O36" s="314"/>
      <c r="P36" s="314"/>
      <c r="Q36" s="320"/>
      <c r="R36" s="1428" t="str">
        <f>IF(R139=0,IF(AND($F$22&gt;"399",$F$22&lt;"500"),"OPERATING REVENUES","REVENUES"),"THIS REPORT HAS AN ERROR, THIS REPORT HAS AN ERROR, THIS REPORT HAS AN ERROR")</f>
        <v>REVENUES</v>
      </c>
      <c r="S36" s="1428"/>
      <c r="T36" s="1428"/>
      <c r="U36" s="1428"/>
      <c r="V36" s="1428"/>
      <c r="W36" s="1428"/>
      <c r="X36" s="1428"/>
      <c r="Y36" s="1428"/>
      <c r="Z36" s="1428"/>
      <c r="AA36" s="1428"/>
      <c r="AB36" s="1428"/>
      <c r="AC36" s="1428"/>
      <c r="AD36" s="1428"/>
      <c r="AE36" s="1428"/>
      <c r="AF36" s="1428"/>
      <c r="AG36" s="1428"/>
      <c r="AH36" s="1428"/>
      <c r="AI36" s="1428"/>
      <c r="AJ36" s="1428"/>
      <c r="AK36" s="1428"/>
      <c r="AL36" s="1428"/>
      <c r="AM36" s="1428"/>
      <c r="AN36" s="1428"/>
      <c r="AO36" s="1428"/>
      <c r="AP36" s="1428"/>
      <c r="AQ36" s="521"/>
      <c r="AR36" s="525"/>
      <c r="AS36" s="526"/>
    </row>
    <row r="37" spans="1:58" ht="0.95" customHeight="1">
      <c r="B37" s="274" t="s">
        <v>62</v>
      </c>
      <c r="O37" s="314"/>
      <c r="P37" s="314"/>
      <c r="Q37" s="320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521"/>
      <c r="AG37" s="523"/>
      <c r="AH37" s="521"/>
      <c r="AI37" s="523"/>
      <c r="AJ37" s="521"/>
      <c r="AK37" s="523"/>
      <c r="AL37" s="521"/>
      <c r="AM37" s="523"/>
      <c r="AN37" s="521"/>
      <c r="AO37" s="521"/>
      <c r="AP37" s="521"/>
      <c r="AQ37" s="521"/>
      <c r="AR37" s="525"/>
      <c r="AS37" s="526"/>
    </row>
    <row r="38" spans="1:58" ht="15.6" customHeight="1">
      <c r="A38" s="271" t="s">
        <v>236</v>
      </c>
      <c r="B38" s="271" t="s">
        <v>62</v>
      </c>
      <c r="E38" s="336" t="str">
        <f>IF(OR($D$7=0,$F$16="YES"),0,"300001..361000|361002..369999")</f>
        <v>300001..361000|361002..369999</v>
      </c>
      <c r="F38" s="300"/>
      <c r="K38" s="337">
        <v>361001</v>
      </c>
      <c r="L38" s="275" t="str">
        <f t="shared" ref="L38:L43" si="2">$F$22</f>
        <v>202</v>
      </c>
      <c r="M38" s="275" t="str">
        <f t="shared" ref="M38:M43" si="3">$J$7</f>
        <v>10/1/2016..9/30/2017</v>
      </c>
      <c r="N38" s="274" t="str">
        <f t="shared" ref="N38:N43" si="4">$D$6</f>
        <v>HARMONY CDD</v>
      </c>
      <c r="O38" s="275">
        <f>K38</f>
        <v>361001</v>
      </c>
      <c r="P38" s="275">
        <f t="shared" ref="P38:P43" si="5">K38</f>
        <v>361001</v>
      </c>
      <c r="Q38" s="320"/>
      <c r="R38" s="528" t="s">
        <v>308</v>
      </c>
      <c r="S38" s="314"/>
      <c r="T38" s="529">
        <v>0</v>
      </c>
      <c r="U38" s="314"/>
      <c r="V38" s="529">
        <v>0</v>
      </c>
      <c r="W38" s="528"/>
      <c r="X38" s="529">
        <v>0</v>
      </c>
      <c r="Y38" s="528"/>
      <c r="Z38" s="529">
        <v>0</v>
      </c>
      <c r="AA38" s="528"/>
      <c r="AB38" s="529">
        <v>309</v>
      </c>
      <c r="AC38" s="528"/>
      <c r="AD38" s="529">
        <v>0</v>
      </c>
      <c r="AE38" s="272"/>
      <c r="AF38" s="529">
        <v>0</v>
      </c>
      <c r="AG38" s="272"/>
      <c r="AH38" s="529">
        <v>0</v>
      </c>
      <c r="AI38" s="272"/>
      <c r="AJ38" s="530">
        <f t="shared" ref="AJ38:AJ43" si="6">+AF38-AH38</f>
        <v>0</v>
      </c>
      <c r="AK38" s="272"/>
      <c r="AL38" s="529">
        <f t="shared" ref="AL38:AL43" si="7">IF(ISERROR(AH38+AJ38),0,(AH38+AJ38))</f>
        <v>0</v>
      </c>
      <c r="AM38" s="529"/>
      <c r="AN38" s="531">
        <v>0</v>
      </c>
      <c r="AO38" s="532"/>
      <c r="AP38" s="533">
        <f t="shared" ref="AP38:AP43" si="8">IF($F$13="YES",AF38,AN38)</f>
        <v>0</v>
      </c>
      <c r="AQ38" s="534">
        <f t="shared" ref="AQ38:AQ43" si="9">ABS(SUMIF(V38:AP38,"&gt;0")-SUMIF(V38:AP38,"&lt;0"))</f>
        <v>309</v>
      </c>
      <c r="AR38" s="525"/>
      <c r="AS38" s="535"/>
      <c r="AV38" s="346"/>
    </row>
    <row r="39" spans="1:58" ht="15.6" hidden="1" customHeight="1">
      <c r="A39" s="271" t="s">
        <v>236</v>
      </c>
      <c r="B39" s="271" t="str">
        <f t="shared" ref="B39:B43" si="10">IF(AQ39=0,"Hide","Show")</f>
        <v>Hide</v>
      </c>
      <c r="E39" s="347"/>
      <c r="K39" s="337" t="s">
        <v>525</v>
      </c>
      <c r="L39" s="275" t="str">
        <f t="shared" si="2"/>
        <v>202</v>
      </c>
      <c r="M39" s="275" t="str">
        <f t="shared" si="3"/>
        <v>10/1/2016..9/30/2017</v>
      </c>
      <c r="N39" s="274" t="str">
        <f t="shared" si="4"/>
        <v>HARMONY CDD</v>
      </c>
      <c r="O39" s="275" t="str">
        <f t="shared" ref="O39:O43" si="11">IF(K39="","8888888",K39)</f>
        <v>361004</v>
      </c>
      <c r="P39" s="275" t="str">
        <f t="shared" si="5"/>
        <v>361004</v>
      </c>
      <c r="Q39" s="356"/>
      <c r="R39" s="528" t="s">
        <v>526</v>
      </c>
      <c r="S39" s="528"/>
      <c r="T39" s="536">
        <v>0</v>
      </c>
      <c r="U39" s="528"/>
      <c r="V39" s="536">
        <v>0</v>
      </c>
      <c r="W39" s="537"/>
      <c r="X39" s="536">
        <v>0</v>
      </c>
      <c r="Y39" s="537"/>
      <c r="Z39" s="536">
        <v>0</v>
      </c>
      <c r="AA39" s="537"/>
      <c r="AB39" s="536">
        <v>0</v>
      </c>
      <c r="AC39" s="537"/>
      <c r="AD39" s="536">
        <v>0</v>
      </c>
      <c r="AE39" s="538"/>
      <c r="AF39" s="536">
        <v>0</v>
      </c>
      <c r="AG39" s="538"/>
      <c r="AH39" s="536">
        <v>0</v>
      </c>
      <c r="AI39" s="538"/>
      <c r="AJ39" s="539">
        <f t="shared" si="6"/>
        <v>0</v>
      </c>
      <c r="AK39" s="538"/>
      <c r="AL39" s="536">
        <f t="shared" si="7"/>
        <v>0</v>
      </c>
      <c r="AM39" s="536"/>
      <c r="AN39" s="540">
        <v>0</v>
      </c>
      <c r="AO39" s="536"/>
      <c r="AP39" s="539">
        <f t="shared" si="8"/>
        <v>0</v>
      </c>
      <c r="AQ39" s="534">
        <f t="shared" si="9"/>
        <v>0</v>
      </c>
      <c r="AS39" s="535"/>
      <c r="AV39" s="346"/>
    </row>
    <row r="40" spans="1:58" ht="15.6" customHeight="1">
      <c r="A40" s="271" t="s">
        <v>311</v>
      </c>
      <c r="B40" s="271" t="str">
        <f t="shared" si="10"/>
        <v>Show</v>
      </c>
      <c r="E40" s="347"/>
      <c r="K40" s="337" t="str">
        <f>"363010"</f>
        <v>363010</v>
      </c>
      <c r="L40" s="275" t="str">
        <f t="shared" si="2"/>
        <v>202</v>
      </c>
      <c r="M40" s="275" t="str">
        <f t="shared" si="3"/>
        <v>10/1/2016..9/30/2017</v>
      </c>
      <c r="N40" s="274" t="str">
        <f t="shared" si="4"/>
        <v>HARMONY CDD</v>
      </c>
      <c r="O40" s="275" t="str">
        <f t="shared" si="11"/>
        <v>363010</v>
      </c>
      <c r="P40" s="275" t="str">
        <f t="shared" si="5"/>
        <v>363010</v>
      </c>
      <c r="Q40" s="356"/>
      <c r="R40" s="528" t="s">
        <v>314</v>
      </c>
      <c r="S40" s="528"/>
      <c r="T40" s="536">
        <v>0</v>
      </c>
      <c r="U40" s="528"/>
      <c r="V40" s="536">
        <v>0</v>
      </c>
      <c r="W40" s="537"/>
      <c r="X40" s="536">
        <v>0</v>
      </c>
      <c r="Y40" s="537"/>
      <c r="Z40" s="536">
        <v>0</v>
      </c>
      <c r="AA40" s="537"/>
      <c r="AB40" s="536">
        <v>66567</v>
      </c>
      <c r="AC40" s="537"/>
      <c r="AD40" s="536">
        <v>0</v>
      </c>
      <c r="AE40" s="538"/>
      <c r="AF40" s="536">
        <v>0</v>
      </c>
      <c r="AG40" s="538"/>
      <c r="AH40" s="536">
        <v>0</v>
      </c>
      <c r="AI40" s="538"/>
      <c r="AJ40" s="539">
        <f t="shared" si="6"/>
        <v>0</v>
      </c>
      <c r="AK40" s="538"/>
      <c r="AL40" s="536">
        <f t="shared" si="7"/>
        <v>0</v>
      </c>
      <c r="AM40" s="536"/>
      <c r="AN40" s="540">
        <v>0</v>
      </c>
      <c r="AO40" s="536"/>
      <c r="AP40" s="539">
        <f t="shared" si="8"/>
        <v>0</v>
      </c>
      <c r="AQ40" s="534">
        <f t="shared" si="9"/>
        <v>66567</v>
      </c>
      <c r="AS40" s="535"/>
      <c r="AV40" s="346"/>
    </row>
    <row r="41" spans="1:58" ht="15.6" customHeight="1">
      <c r="A41" s="271" t="s">
        <v>311</v>
      </c>
      <c r="B41" s="271" t="str">
        <f t="shared" si="10"/>
        <v>Show</v>
      </c>
      <c r="E41" s="347"/>
      <c r="K41" s="337" t="str">
        <f>"363040"</f>
        <v>363040</v>
      </c>
      <c r="L41" s="275" t="str">
        <f t="shared" si="2"/>
        <v>202</v>
      </c>
      <c r="M41" s="275" t="str">
        <f t="shared" si="3"/>
        <v>10/1/2016..9/30/2017</v>
      </c>
      <c r="N41" s="274" t="str">
        <f t="shared" si="4"/>
        <v>HARMONY CDD</v>
      </c>
      <c r="O41" s="275" t="str">
        <f t="shared" si="11"/>
        <v>363040</v>
      </c>
      <c r="P41" s="275" t="str">
        <f t="shared" si="5"/>
        <v>363040</v>
      </c>
      <c r="Q41" s="356"/>
      <c r="R41" s="528" t="s">
        <v>316</v>
      </c>
      <c r="S41" s="528"/>
      <c r="T41" s="536">
        <v>0</v>
      </c>
      <c r="U41" s="528"/>
      <c r="V41" s="536">
        <v>0</v>
      </c>
      <c r="W41" s="537"/>
      <c r="X41" s="536">
        <v>0</v>
      </c>
      <c r="Y41" s="537"/>
      <c r="Z41" s="536">
        <v>0</v>
      </c>
      <c r="AA41" s="537"/>
      <c r="AB41" s="536">
        <v>1099420</v>
      </c>
      <c r="AC41" s="537"/>
      <c r="AD41" s="536">
        <v>0</v>
      </c>
      <c r="AE41" s="538"/>
      <c r="AF41" s="536">
        <v>0</v>
      </c>
      <c r="AG41" s="538"/>
      <c r="AH41" s="536">
        <v>0</v>
      </c>
      <c r="AI41" s="538"/>
      <c r="AJ41" s="539">
        <f t="shared" si="6"/>
        <v>0</v>
      </c>
      <c r="AK41" s="538"/>
      <c r="AL41" s="536">
        <f t="shared" si="7"/>
        <v>0</v>
      </c>
      <c r="AM41" s="536"/>
      <c r="AN41" s="540">
        <v>0</v>
      </c>
      <c r="AO41" s="536"/>
      <c r="AP41" s="539">
        <f t="shared" si="8"/>
        <v>0</v>
      </c>
      <c r="AQ41" s="534">
        <f t="shared" si="9"/>
        <v>1099420</v>
      </c>
      <c r="AS41" s="535"/>
      <c r="AV41" s="346"/>
    </row>
    <row r="42" spans="1:58" ht="15.6" hidden="1" customHeight="1">
      <c r="A42" s="271" t="s">
        <v>311</v>
      </c>
      <c r="B42" s="271" t="str">
        <f t="shared" si="10"/>
        <v>Hide</v>
      </c>
      <c r="E42" s="347"/>
      <c r="K42" s="337" t="str">
        <f>"363050"</f>
        <v>363050</v>
      </c>
      <c r="L42" s="275" t="str">
        <f t="shared" si="2"/>
        <v>202</v>
      </c>
      <c r="M42" s="275" t="str">
        <f t="shared" si="3"/>
        <v>10/1/2016..9/30/2017</v>
      </c>
      <c r="N42" s="274" t="str">
        <f t="shared" si="4"/>
        <v>HARMONY CDD</v>
      </c>
      <c r="O42" s="275" t="str">
        <f t="shared" si="11"/>
        <v>363050</v>
      </c>
      <c r="P42" s="275" t="str">
        <f t="shared" si="5"/>
        <v>363050</v>
      </c>
      <c r="Q42" s="356"/>
      <c r="R42" s="528" t="s">
        <v>317</v>
      </c>
      <c r="S42" s="528"/>
      <c r="T42" s="536">
        <v>0</v>
      </c>
      <c r="U42" s="528"/>
      <c r="V42" s="536">
        <v>0</v>
      </c>
      <c r="W42" s="537"/>
      <c r="X42" s="536">
        <v>0</v>
      </c>
      <c r="Y42" s="537"/>
      <c r="Z42" s="536">
        <v>0</v>
      </c>
      <c r="AA42" s="537"/>
      <c r="AB42" s="536">
        <v>0</v>
      </c>
      <c r="AC42" s="537"/>
      <c r="AD42" s="536">
        <v>0</v>
      </c>
      <c r="AE42" s="538"/>
      <c r="AF42" s="536">
        <v>0</v>
      </c>
      <c r="AG42" s="538"/>
      <c r="AH42" s="536">
        <v>0</v>
      </c>
      <c r="AI42" s="538"/>
      <c r="AJ42" s="539">
        <f t="shared" si="6"/>
        <v>0</v>
      </c>
      <c r="AK42" s="538"/>
      <c r="AL42" s="536">
        <f t="shared" si="7"/>
        <v>0</v>
      </c>
      <c r="AM42" s="536"/>
      <c r="AN42" s="540">
        <v>0</v>
      </c>
      <c r="AO42" s="536"/>
      <c r="AP42" s="539">
        <f t="shared" si="8"/>
        <v>0</v>
      </c>
      <c r="AQ42" s="534">
        <f t="shared" si="9"/>
        <v>0</v>
      </c>
      <c r="AS42" s="535"/>
      <c r="AV42" s="346"/>
    </row>
    <row r="43" spans="1:58" ht="15.6" hidden="1" customHeight="1">
      <c r="A43" s="271" t="s">
        <v>311</v>
      </c>
      <c r="B43" s="271" t="str">
        <f t="shared" si="10"/>
        <v>Hide</v>
      </c>
      <c r="E43" s="347"/>
      <c r="K43" s="337" t="str">
        <f>"363090"</f>
        <v>363090</v>
      </c>
      <c r="L43" s="275" t="str">
        <f t="shared" si="2"/>
        <v>202</v>
      </c>
      <c r="M43" s="275" t="str">
        <f t="shared" si="3"/>
        <v>10/1/2016..9/30/2017</v>
      </c>
      <c r="N43" s="274" t="str">
        <f t="shared" si="4"/>
        <v>HARMONY CDD</v>
      </c>
      <c r="O43" s="275" t="str">
        <f t="shared" si="11"/>
        <v>363090</v>
      </c>
      <c r="P43" s="275" t="str">
        <f t="shared" si="5"/>
        <v>363090</v>
      </c>
      <c r="Q43" s="356"/>
      <c r="R43" s="528" t="s">
        <v>318</v>
      </c>
      <c r="S43" s="528"/>
      <c r="T43" s="536">
        <v>0</v>
      </c>
      <c r="U43" s="528"/>
      <c r="V43" s="536">
        <v>0</v>
      </c>
      <c r="W43" s="537"/>
      <c r="X43" s="536">
        <v>0</v>
      </c>
      <c r="Y43" s="537"/>
      <c r="Z43" s="536">
        <v>0</v>
      </c>
      <c r="AA43" s="537"/>
      <c r="AB43" s="536">
        <v>0</v>
      </c>
      <c r="AC43" s="537"/>
      <c r="AD43" s="536">
        <v>0</v>
      </c>
      <c r="AE43" s="538"/>
      <c r="AF43" s="536">
        <v>0</v>
      </c>
      <c r="AG43" s="538"/>
      <c r="AH43" s="536">
        <v>0</v>
      </c>
      <c r="AI43" s="538"/>
      <c r="AJ43" s="539">
        <f t="shared" si="6"/>
        <v>0</v>
      </c>
      <c r="AK43" s="538"/>
      <c r="AL43" s="536">
        <f t="shared" si="7"/>
        <v>0</v>
      </c>
      <c r="AM43" s="536"/>
      <c r="AN43" s="540">
        <v>0</v>
      </c>
      <c r="AO43" s="536"/>
      <c r="AP43" s="539">
        <f t="shared" si="8"/>
        <v>0</v>
      </c>
      <c r="AQ43" s="534">
        <f t="shared" si="9"/>
        <v>0</v>
      </c>
      <c r="AS43" s="535"/>
      <c r="AV43" s="346"/>
    </row>
    <row r="44" spans="1:58" ht="3.95" customHeight="1">
      <c r="B44" s="274" t="s">
        <v>62</v>
      </c>
      <c r="E44" s="347"/>
      <c r="K44" s="278"/>
      <c r="L44" s="275"/>
      <c r="M44" s="275"/>
      <c r="N44" s="274"/>
      <c r="O44" s="275"/>
      <c r="P44" s="275"/>
      <c r="Q44" s="356"/>
      <c r="R44" s="528"/>
      <c r="S44" s="528"/>
      <c r="T44" s="529"/>
      <c r="U44" s="528"/>
      <c r="V44" s="529"/>
      <c r="W44" s="528"/>
      <c r="X44" s="529"/>
      <c r="Y44" s="528"/>
      <c r="Z44" s="529"/>
      <c r="AA44" s="528"/>
      <c r="AB44" s="529"/>
      <c r="AC44" s="528"/>
      <c r="AD44" s="529"/>
      <c r="AE44" s="272"/>
      <c r="AF44" s="529"/>
      <c r="AG44" s="272"/>
      <c r="AH44" s="529"/>
      <c r="AI44" s="272"/>
      <c r="AJ44" s="529"/>
      <c r="AK44" s="272"/>
      <c r="AL44" s="529"/>
      <c r="AM44" s="529"/>
      <c r="AN44" s="532"/>
      <c r="AO44" s="532"/>
      <c r="AP44" s="532"/>
      <c r="AQ44" s="532"/>
      <c r="AS44" s="541"/>
    </row>
    <row r="45" spans="1:58" ht="15" hidden="1" customHeight="1">
      <c r="B45" s="274" t="s">
        <v>31</v>
      </c>
      <c r="E45" s="336">
        <f>IF(OR($D$7=0,$F$16="NO"),0,"300001..361000|361002..369999")</f>
        <v>0</v>
      </c>
      <c r="F45" s="300"/>
      <c r="K45" s="278"/>
      <c r="L45" s="275"/>
      <c r="M45" s="275"/>
      <c r="N45" s="274"/>
      <c r="O45" s="275"/>
      <c r="P45" s="275"/>
      <c r="Q45" s="356"/>
      <c r="R45" s="528"/>
      <c r="S45" s="528"/>
      <c r="T45" s="529"/>
      <c r="U45" s="528"/>
      <c r="V45" s="529"/>
      <c r="W45" s="528"/>
      <c r="X45" s="529"/>
      <c r="Y45" s="528"/>
      <c r="Z45" s="529"/>
      <c r="AA45" s="528"/>
      <c r="AB45" s="529"/>
      <c r="AC45" s="528"/>
      <c r="AD45" s="529"/>
      <c r="AE45" s="272"/>
      <c r="AF45" s="529"/>
      <c r="AG45" s="272"/>
      <c r="AH45" s="529"/>
      <c r="AI45" s="272"/>
      <c r="AJ45" s="529"/>
      <c r="AK45" s="272"/>
      <c r="AL45" s="529"/>
      <c r="AM45" s="529"/>
      <c r="AN45" s="532"/>
      <c r="AO45" s="532"/>
      <c r="AP45" s="532"/>
      <c r="AQ45" s="532"/>
      <c r="AS45" s="541"/>
    </row>
    <row r="46" spans="1:58" ht="15" hidden="1" customHeight="1">
      <c r="B46" s="274" t="s">
        <v>31</v>
      </c>
      <c r="I46" s="360"/>
      <c r="K46" s="278"/>
      <c r="L46" s="275"/>
      <c r="M46" s="275"/>
      <c r="N46" s="274"/>
      <c r="O46" s="275"/>
      <c r="P46" s="275"/>
      <c r="Q46" s="356"/>
      <c r="R46" s="528"/>
      <c r="S46" s="528"/>
      <c r="T46" s="529"/>
      <c r="U46" s="528"/>
      <c r="V46" s="529"/>
      <c r="W46" s="528"/>
      <c r="X46" s="529"/>
      <c r="Y46" s="528"/>
      <c r="Z46" s="529"/>
      <c r="AA46" s="528"/>
      <c r="AB46" s="529"/>
      <c r="AC46" s="528"/>
      <c r="AD46" s="529"/>
      <c r="AE46" s="272"/>
      <c r="AF46" s="529"/>
      <c r="AG46" s="272"/>
      <c r="AH46" s="529"/>
      <c r="AI46" s="272"/>
      <c r="AJ46" s="529"/>
      <c r="AK46" s="272"/>
      <c r="AL46" s="529"/>
      <c r="AM46" s="529"/>
      <c r="AN46" s="532"/>
      <c r="AO46" s="532"/>
      <c r="AP46" s="532"/>
      <c r="AQ46" s="532"/>
      <c r="AS46" s="541"/>
    </row>
    <row r="47" spans="1:58" ht="15" hidden="1" customHeight="1">
      <c r="B47" s="274" t="str">
        <f>B50</f>
        <v>Hide</v>
      </c>
      <c r="I47" s="360" t="str">
        <f>IF(I46="","9999999",I46)</f>
        <v>9999999</v>
      </c>
      <c r="K47" s="278"/>
      <c r="L47" s="275"/>
      <c r="M47" s="275"/>
      <c r="N47" s="274"/>
      <c r="O47" s="275"/>
      <c r="P47" s="275"/>
      <c r="Q47" s="356"/>
      <c r="R47" s="542"/>
      <c r="S47" s="528"/>
      <c r="T47" s="529"/>
      <c r="U47" s="528"/>
      <c r="V47" s="529"/>
      <c r="W47" s="528"/>
      <c r="X47" s="529"/>
      <c r="Y47" s="528"/>
      <c r="Z47" s="529"/>
      <c r="AA47" s="528"/>
      <c r="AB47" s="529"/>
      <c r="AC47" s="528"/>
      <c r="AD47" s="529"/>
      <c r="AE47" s="272"/>
      <c r="AF47" s="529"/>
      <c r="AG47" s="272"/>
      <c r="AH47" s="529"/>
      <c r="AI47" s="272"/>
      <c r="AJ47" s="529"/>
      <c r="AK47" s="272"/>
      <c r="AL47" s="529"/>
      <c r="AM47" s="529"/>
      <c r="AN47" s="532"/>
      <c r="AO47" s="532"/>
      <c r="AP47" s="532"/>
      <c r="AQ47" s="532"/>
      <c r="AS47" s="541"/>
      <c r="AU47" s="362" t="s">
        <v>301</v>
      </c>
      <c r="AV47" s="362" t="str">
        <f>$V$33</f>
        <v>FY 2012</v>
      </c>
      <c r="AW47" s="362" t="str">
        <f>$X$33</f>
        <v>FY 2013</v>
      </c>
      <c r="AX47" s="362" t="str">
        <f>$Z$33</f>
        <v>FY 2014</v>
      </c>
      <c r="AY47" s="362" t="str">
        <f>$AB$33</f>
        <v>FY - 2015</v>
      </c>
      <c r="AZ47" s="362" t="s">
        <v>327</v>
      </c>
      <c r="BA47" s="362" t="s">
        <v>328</v>
      </c>
      <c r="BB47" s="362" t="s">
        <v>329</v>
      </c>
      <c r="BC47" s="362" t="s">
        <v>330</v>
      </c>
      <c r="BD47" s="362" t="s">
        <v>289</v>
      </c>
      <c r="BE47" s="362" t="s">
        <v>331</v>
      </c>
      <c r="BF47" s="362" t="s">
        <v>332</v>
      </c>
    </row>
    <row r="48" spans="1:58" ht="15" hidden="1" customHeight="1">
      <c r="A48" s="271" t="s">
        <v>236</v>
      </c>
      <c r="B48" s="271" t="str">
        <f>IF(AQ48=0,"Hide","Show")</f>
        <v>Hide</v>
      </c>
      <c r="E48" s="347"/>
      <c r="I48" s="360" t="str">
        <f t="shared" ref="I48:I51" si="12">I47</f>
        <v>9999999</v>
      </c>
      <c r="K48" s="337"/>
      <c r="L48" s="275" t="str">
        <f>$F$22</f>
        <v>202</v>
      </c>
      <c r="M48" s="275" t="str">
        <f>$J$7</f>
        <v>10/1/2016..9/30/2017</v>
      </c>
      <c r="N48" s="274" t="str">
        <f>$D$6</f>
        <v>HARMONY CDD</v>
      </c>
      <c r="O48" s="275" t="str">
        <f>K48&amp;" "&amp;I48</f>
        <v xml:space="preserve"> 9999999</v>
      </c>
      <c r="P48" s="275">
        <f>K48</f>
        <v>0</v>
      </c>
      <c r="Q48" s="356"/>
      <c r="R48" s="528"/>
      <c r="S48" s="528"/>
      <c r="T48" s="536">
        <v>0</v>
      </c>
      <c r="U48" s="528"/>
      <c r="V48" s="536">
        <v>0</v>
      </c>
      <c r="W48" s="537"/>
      <c r="X48" s="536">
        <v>0</v>
      </c>
      <c r="Y48" s="537"/>
      <c r="Z48" s="536">
        <v>0</v>
      </c>
      <c r="AA48" s="537"/>
      <c r="AB48" s="536">
        <v>0</v>
      </c>
      <c r="AC48" s="537"/>
      <c r="AD48" s="536">
        <v>0</v>
      </c>
      <c r="AE48" s="538"/>
      <c r="AF48" s="536">
        <v>0</v>
      </c>
      <c r="AG48" s="538"/>
      <c r="AH48" s="536">
        <v>0</v>
      </c>
      <c r="AI48" s="538"/>
      <c r="AJ48" s="539">
        <f>+AF48-AH48</f>
        <v>0</v>
      </c>
      <c r="AK48" s="538"/>
      <c r="AL48" s="536">
        <f>IF(ISERROR(AH48+AJ48),0,(AH48+AJ48))</f>
        <v>0</v>
      </c>
      <c r="AM48" s="536"/>
      <c r="AN48" s="540">
        <v>0</v>
      </c>
      <c r="AO48" s="536"/>
      <c r="AP48" s="539">
        <f>IF($F$13="YES",AF48,AN48)</f>
        <v>0</v>
      </c>
      <c r="AQ48" s="534">
        <f>ABS(SUMIF(V48:AP48,"&gt;0")-SUMIF(V48:AP48,"&lt;0"))</f>
        <v>0</v>
      </c>
      <c r="AS48" s="535"/>
    </row>
    <row r="49" spans="1:58" ht="3.95" hidden="1" customHeight="1">
      <c r="B49" s="274" t="str">
        <f>B50</f>
        <v>Hide</v>
      </c>
      <c r="E49" s="347"/>
      <c r="I49" s="360" t="str">
        <f t="shared" si="12"/>
        <v>9999999</v>
      </c>
      <c r="K49" s="278"/>
      <c r="L49" s="275"/>
      <c r="M49" s="275"/>
      <c r="N49" s="274"/>
      <c r="O49" s="275"/>
      <c r="P49" s="275"/>
      <c r="Q49" s="356"/>
      <c r="R49" s="543"/>
      <c r="S49" s="528"/>
      <c r="T49" s="529"/>
      <c r="U49" s="528"/>
      <c r="V49" s="529"/>
      <c r="W49" s="528"/>
      <c r="X49" s="529"/>
      <c r="Y49" s="528"/>
      <c r="Z49" s="529"/>
      <c r="AA49" s="528"/>
      <c r="AB49" s="529"/>
      <c r="AC49" s="528"/>
      <c r="AD49" s="529"/>
      <c r="AE49" s="272"/>
      <c r="AF49" s="529"/>
      <c r="AG49" s="272"/>
      <c r="AH49" s="529"/>
      <c r="AI49" s="272"/>
      <c r="AJ49" s="529"/>
      <c r="AK49" s="272"/>
      <c r="AL49" s="529"/>
      <c r="AM49" s="529"/>
      <c r="AN49" s="532"/>
      <c r="AO49" s="532"/>
      <c r="AP49" s="532"/>
      <c r="AQ49" s="532"/>
      <c r="AS49" s="541"/>
    </row>
    <row r="50" spans="1:58" ht="15" hidden="1" customHeight="1">
      <c r="B50" s="271" t="str">
        <f>IF(AQ50=0,"Hide","Show")</f>
        <v>Hide</v>
      </c>
      <c r="E50" s="347"/>
      <c r="I50" s="360" t="str">
        <f t="shared" si="12"/>
        <v>9999999</v>
      </c>
      <c r="K50" s="278"/>
      <c r="L50" s="275"/>
      <c r="M50" s="275"/>
      <c r="N50" s="274"/>
      <c r="O50" s="275"/>
      <c r="P50" s="275"/>
      <c r="Q50" s="356"/>
      <c r="R50" s="543" t="s">
        <v>150</v>
      </c>
      <c r="S50" s="528"/>
      <c r="T50" s="544">
        <f>SUM(T47:T49)</f>
        <v>0</v>
      </c>
      <c r="U50" s="528"/>
      <c r="V50" s="544">
        <f>SUM(V47:V49)</f>
        <v>0</v>
      </c>
      <c r="W50" s="528"/>
      <c r="X50" s="544">
        <f>SUM(X47:X49)</f>
        <v>0</v>
      </c>
      <c r="Y50" s="528"/>
      <c r="Z50" s="544">
        <f>SUM(Z47:Z49)</f>
        <v>0</v>
      </c>
      <c r="AA50" s="528"/>
      <c r="AB50" s="544">
        <f>SUM(AB47:AB49)</f>
        <v>0</v>
      </c>
      <c r="AC50" s="528"/>
      <c r="AD50" s="544">
        <f>SUM(AD47:AD49)</f>
        <v>0</v>
      </c>
      <c r="AE50" s="272"/>
      <c r="AF50" s="544">
        <f>SUM(AF47:AF49)</f>
        <v>0</v>
      </c>
      <c r="AG50" s="272"/>
      <c r="AH50" s="544">
        <f>SUM(AH47:AH49)</f>
        <v>0</v>
      </c>
      <c r="AI50" s="272"/>
      <c r="AJ50" s="544">
        <f>SUM(AJ47:AJ49)</f>
        <v>0</v>
      </c>
      <c r="AK50" s="272"/>
      <c r="AL50" s="544">
        <f>SUM(AL47:AL49)</f>
        <v>0</v>
      </c>
      <c r="AM50" s="529"/>
      <c r="AN50" s="544">
        <f>SUM(AN47:AN49)</f>
        <v>0</v>
      </c>
      <c r="AO50" s="532"/>
      <c r="AP50" s="544">
        <f>SUM(AP47:AP49)</f>
        <v>0</v>
      </c>
      <c r="AQ50" s="534">
        <f>ABS(SUMIF(V50:AP50,"&gt;0")-SUMIF(V50:AP50,"&lt;0"))</f>
        <v>0</v>
      </c>
      <c r="AS50" s="541"/>
      <c r="AU50" s="366">
        <f>SUM(T47:T49)</f>
        <v>0</v>
      </c>
      <c r="AV50" s="366">
        <f>SUM(V47:V49)</f>
        <v>0</v>
      </c>
      <c r="AW50" s="366">
        <f>SUM(X47:X49)</f>
        <v>0</v>
      </c>
      <c r="AX50" s="366">
        <f>SUM(Z47:Z49)</f>
        <v>0</v>
      </c>
      <c r="AY50" s="366">
        <f>SUM(AB47:AB49)</f>
        <v>0</v>
      </c>
      <c r="AZ50" s="366">
        <f>SUM(AD47:AD49)</f>
        <v>0</v>
      </c>
      <c r="BA50" s="366">
        <f>SUM(AF47:AF49)</f>
        <v>0</v>
      </c>
      <c r="BB50" s="366">
        <f>SUM(AH47:AH49)</f>
        <v>0</v>
      </c>
      <c r="BC50" s="366">
        <f>SUM(AJ47:AJ49)</f>
        <v>0</v>
      </c>
      <c r="BD50" s="366">
        <f>SUM(AL47:AL49)</f>
        <v>0</v>
      </c>
      <c r="BE50" s="367">
        <f>SUM(AN47:AN49)</f>
        <v>0</v>
      </c>
      <c r="BF50" s="367">
        <f>SUM(AP47:AP49)</f>
        <v>0</v>
      </c>
    </row>
    <row r="51" spans="1:58" ht="3.95" hidden="1" customHeight="1">
      <c r="B51" s="274" t="str">
        <f>B50</f>
        <v>Hide</v>
      </c>
      <c r="E51" s="347"/>
      <c r="H51" s="271"/>
      <c r="I51" s="360" t="str">
        <f t="shared" si="12"/>
        <v>9999999</v>
      </c>
      <c r="K51" s="278"/>
      <c r="L51" s="275"/>
      <c r="M51" s="275"/>
      <c r="N51" s="274"/>
      <c r="O51" s="275"/>
      <c r="P51" s="275"/>
      <c r="Q51" s="356"/>
      <c r="R51" s="528"/>
      <c r="S51" s="528"/>
      <c r="T51" s="529"/>
      <c r="U51" s="528"/>
      <c r="V51" s="529"/>
      <c r="W51" s="528"/>
      <c r="X51" s="529"/>
      <c r="Y51" s="528"/>
      <c r="Z51" s="529"/>
      <c r="AA51" s="528"/>
      <c r="AB51" s="529"/>
      <c r="AC51" s="528"/>
      <c r="AD51" s="529"/>
      <c r="AE51" s="272"/>
      <c r="AF51" s="529"/>
      <c r="AG51" s="272"/>
      <c r="AH51" s="529"/>
      <c r="AI51" s="272"/>
      <c r="AJ51" s="529"/>
      <c r="AK51" s="272"/>
      <c r="AL51" s="529"/>
      <c r="AM51" s="529"/>
      <c r="AN51" s="532"/>
      <c r="AO51" s="532"/>
      <c r="AP51" s="532"/>
      <c r="AQ51" s="532"/>
      <c r="AS51" s="541"/>
    </row>
    <row r="52" spans="1:58" ht="3.95" customHeight="1">
      <c r="B52" s="274" t="s">
        <v>62</v>
      </c>
      <c r="E52" s="347"/>
      <c r="H52" s="271"/>
      <c r="I52" s="360"/>
      <c r="K52" s="278"/>
      <c r="L52" s="275"/>
      <c r="M52" s="275"/>
      <c r="N52" s="274"/>
      <c r="O52" s="275"/>
      <c r="P52" s="275"/>
      <c r="Q52" s="356"/>
      <c r="R52" s="528"/>
      <c r="S52" s="528"/>
      <c r="T52" s="529"/>
      <c r="U52" s="528"/>
      <c r="V52" s="529"/>
      <c r="W52" s="528"/>
      <c r="X52" s="529"/>
      <c r="Y52" s="528"/>
      <c r="Z52" s="529"/>
      <c r="AA52" s="528"/>
      <c r="AB52" s="529"/>
      <c r="AC52" s="528"/>
      <c r="AD52" s="529"/>
      <c r="AE52" s="272"/>
      <c r="AF52" s="529"/>
      <c r="AG52" s="272"/>
      <c r="AH52" s="529"/>
      <c r="AI52" s="272"/>
      <c r="AJ52" s="529"/>
      <c r="AK52" s="272"/>
      <c r="AL52" s="529"/>
      <c r="AM52" s="529"/>
      <c r="AN52" s="532"/>
      <c r="AO52" s="532"/>
      <c r="AP52" s="532"/>
      <c r="AQ52" s="532"/>
      <c r="AS52" s="541"/>
    </row>
    <row r="53" spans="1:58" ht="15" customHeight="1">
      <c r="B53" s="274" t="s">
        <v>62</v>
      </c>
      <c r="E53" s="347"/>
      <c r="H53" s="271"/>
      <c r="K53" s="278"/>
      <c r="L53" s="275"/>
      <c r="M53" s="275"/>
      <c r="O53" s="283"/>
      <c r="P53" s="283"/>
      <c r="Q53" s="356"/>
      <c r="R53" s="545" t="str">
        <f>IF(AND($F$22&gt;"399",$F$22&lt;"500"),"TOTAL OPERATING REVENUES","TOTAL REVENUES")</f>
        <v>TOTAL REVENUES</v>
      </c>
      <c r="S53" s="546"/>
      <c r="T53" s="547">
        <f>SUM(T37:T44)+SUM(AU48:AU52)</f>
        <v>0</v>
      </c>
      <c r="U53" s="546"/>
      <c r="V53" s="547">
        <f>SUM(V37:V44)+SUM(AV48:AV52)</f>
        <v>0</v>
      </c>
      <c r="W53" s="548"/>
      <c r="X53" s="547">
        <f>SUM(X37:X44)+SUM(AW48:AW52)</f>
        <v>0</v>
      </c>
      <c r="Y53" s="548"/>
      <c r="Z53" s="547">
        <f>SUM(Z37:Z44)+SUM(AX48:AX52)</f>
        <v>0</v>
      </c>
      <c r="AA53" s="548"/>
      <c r="AB53" s="547">
        <f>SUM(AB37:AB44)+SUM(AY48:AY52)</f>
        <v>1166296</v>
      </c>
      <c r="AC53" s="548"/>
      <c r="AD53" s="547">
        <f>SUM(AD37:AD44)+SUM(AZ48:AZ52)</f>
        <v>0</v>
      </c>
      <c r="AE53" s="549"/>
      <c r="AF53" s="547">
        <f>SUM(AF37:AF44)+SUM(BA48:BA52)</f>
        <v>0</v>
      </c>
      <c r="AG53" s="549"/>
      <c r="AH53" s="547">
        <f>SUM(AH37:AH44)+SUM(BB48:BB52)</f>
        <v>0</v>
      </c>
      <c r="AI53" s="549"/>
      <c r="AJ53" s="547">
        <f>SUM(AJ37:AJ44)+SUM(BC48:BC52)</f>
        <v>0</v>
      </c>
      <c r="AK53" s="549"/>
      <c r="AL53" s="547">
        <f>SUM(AL37:AL44)+SUM(BD48:BD52)</f>
        <v>0</v>
      </c>
      <c r="AM53" s="547"/>
      <c r="AN53" s="547">
        <f>SUM(AN37:AN44)+SUM(BE48:BE52)</f>
        <v>0</v>
      </c>
      <c r="AO53" s="547"/>
      <c r="AP53" s="550">
        <f>SUM(AP37:AP44)+SUM(BF48:BF52)</f>
        <v>0</v>
      </c>
      <c r="AQ53" s="534">
        <f>ABS(SUMIF(V53:AP53,"&gt;0")-SUMIF(V53:AP53,"&lt;0"))</f>
        <v>1166296</v>
      </c>
      <c r="AS53" s="541"/>
    </row>
    <row r="54" spans="1:58" ht="15.95" customHeight="1">
      <c r="B54" s="274" t="s">
        <v>62</v>
      </c>
      <c r="E54" s="347"/>
      <c r="K54" s="278"/>
      <c r="L54" s="275"/>
      <c r="M54" s="275"/>
      <c r="O54" s="283"/>
      <c r="P54" s="283"/>
      <c r="Q54" s="356"/>
      <c r="R54" s="528"/>
      <c r="S54" s="528"/>
      <c r="T54" s="529"/>
      <c r="U54" s="528"/>
      <c r="V54" s="529"/>
      <c r="W54" s="528"/>
      <c r="X54" s="529"/>
      <c r="Y54" s="528"/>
      <c r="Z54" s="529"/>
      <c r="AA54" s="528"/>
      <c r="AB54" s="529"/>
      <c r="AC54" s="528"/>
      <c r="AD54" s="529"/>
      <c r="AE54" s="551"/>
      <c r="AF54" s="529"/>
      <c r="AG54" s="551"/>
      <c r="AH54" s="529"/>
      <c r="AI54" s="551"/>
      <c r="AJ54" s="529"/>
      <c r="AK54" s="551"/>
      <c r="AL54" s="529"/>
      <c r="AM54" s="529"/>
      <c r="AN54" s="529"/>
      <c r="AO54" s="529"/>
      <c r="AP54" s="529"/>
      <c r="AQ54" s="529"/>
      <c r="AS54" s="541"/>
    </row>
    <row r="55" spans="1:58" ht="15" hidden="1" customHeight="1">
      <c r="B55" s="274" t="str">
        <f>IF(AQ59=0,"Hide","Show")</f>
        <v>Hide</v>
      </c>
      <c r="E55" s="336">
        <f>IF(OR($F$22=0,VALUE($F$22)&lt;=399,VALUE($F$22)&gt;499,$F$14="NO"),0,"552099..552199")</f>
        <v>0</v>
      </c>
      <c r="F55" s="300"/>
      <c r="K55" s="278"/>
      <c r="L55" s="275"/>
      <c r="M55" s="275"/>
      <c r="O55" s="283"/>
      <c r="P55" s="283"/>
      <c r="Q55" s="356"/>
      <c r="R55" s="527" t="s">
        <v>335</v>
      </c>
      <c r="S55" s="528"/>
      <c r="T55" s="529"/>
      <c r="U55" s="528"/>
      <c r="V55" s="529"/>
      <c r="W55" s="528"/>
      <c r="X55" s="529"/>
      <c r="Y55" s="528"/>
      <c r="Z55" s="529"/>
      <c r="AA55" s="528"/>
      <c r="AB55" s="529"/>
      <c r="AC55" s="528"/>
      <c r="AD55" s="529"/>
      <c r="AE55" s="551"/>
      <c r="AF55" s="529"/>
      <c r="AG55" s="551"/>
      <c r="AH55" s="529"/>
      <c r="AI55" s="551"/>
      <c r="AJ55" s="529"/>
      <c r="AK55" s="551"/>
      <c r="AL55" s="529"/>
      <c r="AM55" s="529"/>
      <c r="AN55" s="529"/>
      <c r="AO55" s="529"/>
      <c r="AP55" s="529"/>
      <c r="AQ55" s="529"/>
      <c r="AS55" s="541"/>
    </row>
    <row r="56" spans="1:58" ht="0.95" hidden="1" customHeight="1">
      <c r="B56" s="274" t="s">
        <v>31</v>
      </c>
      <c r="E56" s="347"/>
      <c r="K56" s="278"/>
      <c r="L56" s="275"/>
      <c r="M56" s="275"/>
      <c r="O56" s="283"/>
      <c r="P56" s="283"/>
      <c r="Q56" s="356"/>
      <c r="R56" s="528"/>
      <c r="S56" s="528"/>
      <c r="T56" s="529"/>
      <c r="U56" s="528"/>
      <c r="V56" s="529"/>
      <c r="W56" s="528"/>
      <c r="X56" s="529"/>
      <c r="Y56" s="528"/>
      <c r="Z56" s="529"/>
      <c r="AA56" s="528"/>
      <c r="AB56" s="529"/>
      <c r="AC56" s="528"/>
      <c r="AD56" s="529"/>
      <c r="AE56" s="551"/>
      <c r="AF56" s="529"/>
      <c r="AG56" s="551"/>
      <c r="AH56" s="529"/>
      <c r="AI56" s="551"/>
      <c r="AJ56" s="529"/>
      <c r="AK56" s="551"/>
      <c r="AL56" s="529"/>
      <c r="AM56" s="529"/>
      <c r="AN56" s="529"/>
      <c r="AO56" s="529"/>
      <c r="AP56" s="529"/>
      <c r="AQ56" s="529"/>
      <c r="AS56" s="541"/>
    </row>
    <row r="57" spans="1:58" ht="15.6" hidden="1" customHeight="1">
      <c r="A57" s="271" t="s">
        <v>236</v>
      </c>
      <c r="B57" s="271" t="str">
        <f>IF(AQ57=0,"Hide","Show")</f>
        <v>Hide</v>
      </c>
      <c r="E57" s="347"/>
      <c r="K57" s="337"/>
      <c r="L57" s="275" t="str">
        <f>$F$22</f>
        <v>202</v>
      </c>
      <c r="M57" s="275" t="str">
        <f>$J$7</f>
        <v>10/1/2016..9/30/2017</v>
      </c>
      <c r="N57" s="274" t="str">
        <f>$D$6</f>
        <v>HARMONY CDD</v>
      </c>
      <c r="O57" s="387" t="str">
        <f>IF(K57="","500000 50000",K57&amp;" "&amp;"50000")</f>
        <v>500000 50000</v>
      </c>
      <c r="P57" s="275">
        <f>K57</f>
        <v>0</v>
      </c>
      <c r="Q57" s="356"/>
      <c r="R57" s="528"/>
      <c r="S57" s="528"/>
      <c r="T57" s="2">
        <v>0</v>
      </c>
      <c r="U57" s="552"/>
      <c r="V57" s="2">
        <v>0</v>
      </c>
      <c r="W57" s="552"/>
      <c r="X57" s="2">
        <v>0</v>
      </c>
      <c r="Y57" s="552"/>
      <c r="Z57" s="2">
        <v>0</v>
      </c>
      <c r="AA57" s="552"/>
      <c r="AB57" s="2">
        <v>0</v>
      </c>
      <c r="AC57" s="552"/>
      <c r="AD57" s="2">
        <v>0</v>
      </c>
      <c r="AE57" s="553"/>
      <c r="AF57" s="2">
        <v>0</v>
      </c>
      <c r="AG57" s="2"/>
      <c r="AH57" s="2">
        <v>0</v>
      </c>
      <c r="AI57" s="2"/>
      <c r="AJ57" s="554">
        <v>0</v>
      </c>
      <c r="AK57" s="2"/>
      <c r="AL57" s="555">
        <f>IF(ISERROR(AH57+AJ57),0,(AH57+AJ57))</f>
        <v>0</v>
      </c>
      <c r="AM57" s="2"/>
      <c r="AN57" s="540">
        <v>0</v>
      </c>
      <c r="AO57" s="2"/>
      <c r="AP57" s="554">
        <f>IF($F$13="YES",AF57,AN57)</f>
        <v>0</v>
      </c>
      <c r="AQ57" s="534">
        <f>ABS(SUMIF(V57:AP57,"&gt;0")-SUMIF(V57:AP57,"&lt;0"))</f>
        <v>0</v>
      </c>
      <c r="AS57" s="535"/>
    </row>
    <row r="58" spans="1:58" ht="3.95" hidden="1" customHeight="1">
      <c r="B58" s="274" t="s">
        <v>31</v>
      </c>
      <c r="E58" s="347"/>
      <c r="K58" s="278"/>
      <c r="L58" s="275"/>
      <c r="M58" s="275"/>
      <c r="O58" s="283"/>
      <c r="P58" s="283"/>
      <c r="Q58" s="356"/>
      <c r="R58" s="528"/>
      <c r="S58" s="528"/>
      <c r="T58" s="529"/>
      <c r="U58" s="528"/>
      <c r="V58" s="529"/>
      <c r="W58" s="528"/>
      <c r="X58" s="529"/>
      <c r="Y58" s="528"/>
      <c r="Z58" s="529"/>
      <c r="AA58" s="528"/>
      <c r="AB58" s="529"/>
      <c r="AC58" s="528"/>
      <c r="AD58" s="529"/>
      <c r="AE58" s="551"/>
      <c r="AF58" s="529"/>
      <c r="AG58" s="551"/>
      <c r="AH58" s="529"/>
      <c r="AI58" s="551"/>
      <c r="AJ58" s="529"/>
      <c r="AK58" s="551"/>
      <c r="AL58" s="529"/>
      <c r="AM58" s="529"/>
      <c r="AN58" s="529"/>
      <c r="AO58" s="529"/>
      <c r="AP58" s="529"/>
      <c r="AQ58" s="529"/>
      <c r="AS58" s="541"/>
    </row>
    <row r="59" spans="1:58" ht="15.6" hidden="1" customHeight="1">
      <c r="B59" s="271" t="str">
        <f>IF(AQ59=0,"Hide","Show")</f>
        <v>Hide</v>
      </c>
      <c r="E59" s="347"/>
      <c r="K59" s="278"/>
      <c r="L59" s="275"/>
      <c r="M59" s="275"/>
      <c r="O59" s="283"/>
      <c r="P59" s="283"/>
      <c r="Q59" s="356"/>
      <c r="R59" s="556" t="str">
        <f>IF(AND($F$22&gt;"399",$F$22&lt;"500",$F$14="yes"),"Total Cost of Goods Sold","")</f>
        <v/>
      </c>
      <c r="S59" s="528"/>
      <c r="T59" s="557">
        <f>SUM(T56:T58)</f>
        <v>0</v>
      </c>
      <c r="U59" s="528"/>
      <c r="V59" s="557">
        <f>SUM(V56:V58)</f>
        <v>0</v>
      </c>
      <c r="W59" s="528"/>
      <c r="X59" s="557">
        <f>SUM(X56:X58)</f>
        <v>0</v>
      </c>
      <c r="Y59" s="528"/>
      <c r="Z59" s="557">
        <f>SUM(Z56:Z58)</f>
        <v>0</v>
      </c>
      <c r="AA59" s="528"/>
      <c r="AB59" s="557">
        <f>SUM(AB56:AB58)</f>
        <v>0</v>
      </c>
      <c r="AC59" s="528"/>
      <c r="AD59" s="557">
        <f>SUM(AD56:AD58)</f>
        <v>0</v>
      </c>
      <c r="AE59" s="551"/>
      <c r="AF59" s="557">
        <f>SUM(AF56:AF58)</f>
        <v>0</v>
      </c>
      <c r="AG59" s="551"/>
      <c r="AH59" s="557">
        <f>SUM(AH56:AH58)</f>
        <v>0</v>
      </c>
      <c r="AI59" s="551"/>
      <c r="AJ59" s="557">
        <f>SUM(AJ56:AJ58)</f>
        <v>0</v>
      </c>
      <c r="AK59" s="551"/>
      <c r="AL59" s="557">
        <f>SUM(AL56:AL58)</f>
        <v>0</v>
      </c>
      <c r="AM59" s="529"/>
      <c r="AN59" s="557">
        <f>SUM(AN56:AN58)</f>
        <v>0</v>
      </c>
      <c r="AO59" s="529"/>
      <c r="AP59" s="557">
        <f>SUM(AP56:AP58)</f>
        <v>0</v>
      </c>
      <c r="AQ59" s="534">
        <f>ABS(SUMIF(V59:AP59,"&gt;0")-SUMIF(V59:AP59,"&lt;0"))</f>
        <v>0</v>
      </c>
      <c r="AS59" s="541"/>
    </row>
    <row r="60" spans="1:58" ht="8.1" hidden="1" customHeight="1">
      <c r="B60" s="274" t="str">
        <f t="shared" ref="B60:B62" si="13">B59</f>
        <v>Hide</v>
      </c>
      <c r="E60" s="347"/>
      <c r="K60" s="278"/>
      <c r="L60" s="275"/>
      <c r="M60" s="275"/>
      <c r="O60" s="283"/>
      <c r="P60" s="283"/>
      <c r="Q60" s="356"/>
      <c r="R60" s="528"/>
      <c r="S60" s="528"/>
      <c r="T60" s="529"/>
      <c r="U60" s="528"/>
      <c r="V60" s="529"/>
      <c r="W60" s="528"/>
      <c r="X60" s="529"/>
      <c r="Y60" s="528"/>
      <c r="Z60" s="529"/>
      <c r="AA60" s="528"/>
      <c r="AB60" s="529"/>
      <c r="AC60" s="528"/>
      <c r="AD60" s="529"/>
      <c r="AE60" s="551"/>
      <c r="AF60" s="529"/>
      <c r="AG60" s="551"/>
      <c r="AH60" s="529"/>
      <c r="AI60" s="551"/>
      <c r="AJ60" s="529"/>
      <c r="AK60" s="551"/>
      <c r="AL60" s="529"/>
      <c r="AM60" s="529"/>
      <c r="AN60" s="529"/>
      <c r="AO60" s="529"/>
      <c r="AP60" s="529"/>
      <c r="AQ60" s="529"/>
      <c r="AS60" s="541"/>
    </row>
    <row r="61" spans="1:58" ht="15.95" hidden="1" customHeight="1">
      <c r="B61" s="274" t="str">
        <f t="shared" si="13"/>
        <v>Hide</v>
      </c>
      <c r="E61" s="347"/>
      <c r="K61" s="278"/>
      <c r="L61" s="275"/>
      <c r="M61" s="275"/>
      <c r="O61" s="283"/>
      <c r="P61" s="283"/>
      <c r="Q61" s="356"/>
      <c r="R61" s="545" t="str">
        <f>IF(AND($F$22&gt;"399",$F$22&lt;"500",$F$14="yes"),"GROSS PROFIT","")</f>
        <v/>
      </c>
      <c r="S61" s="546"/>
      <c r="T61" s="547">
        <f>IF(OR(VALUE($F$22)&lt;=399,VALUE($F$22)&gt;499,$F$14="NO"),0,T53-T59)</f>
        <v>0</v>
      </c>
      <c r="U61" s="546"/>
      <c r="V61" s="547">
        <f>IF(OR(VALUE($F$22)&lt;=399,VALUE($F$22)&gt;499,$F$14="NO"),0,V53-V59)</f>
        <v>0</v>
      </c>
      <c r="W61" s="548"/>
      <c r="X61" s="547">
        <f>IF(OR(VALUE($F$22)&lt;=399,VALUE($F$22)&gt;499,$F$14="NO"),0,X53-X59)</f>
        <v>0</v>
      </c>
      <c r="Y61" s="548"/>
      <c r="Z61" s="547">
        <f>IF(OR(VALUE($F$22)&lt;=399,VALUE($F$22)&gt;499,$F$14="NO"),0,Z53-Z59)</f>
        <v>0</v>
      </c>
      <c r="AA61" s="548"/>
      <c r="AB61" s="547">
        <f>IF(OR(VALUE($F$22)&lt;=399,VALUE($F$22)&gt;499,$F$14="NO"),0,AB53-AB59)</f>
        <v>0</v>
      </c>
      <c r="AC61" s="548"/>
      <c r="AD61" s="547">
        <f>IF(OR(VALUE($F$22)&lt;=399,VALUE($F$22)&gt;499,$F$14="NO"),0,AD53-AD59)</f>
        <v>0</v>
      </c>
      <c r="AE61" s="549"/>
      <c r="AF61" s="547">
        <f>IF(OR(VALUE($F$22)&lt;=399,VALUE($F$22)&gt;499,$F$14="NO"),0,AF53-AF59)</f>
        <v>0</v>
      </c>
      <c r="AG61" s="549"/>
      <c r="AH61" s="547">
        <f>IF(OR(VALUE($F$22)&lt;=399,VALUE($F$22)&gt;499,$F$14="NO"),0,AH53-AH59)</f>
        <v>0</v>
      </c>
      <c r="AI61" s="549"/>
      <c r="AJ61" s="547">
        <f>IF(OR(VALUE($F$22)&lt;=399,VALUE($F$22)&gt;499,$F$14="NO"),0,AJ53-AJ59)</f>
        <v>0</v>
      </c>
      <c r="AK61" s="549"/>
      <c r="AL61" s="547">
        <f>IF(OR(VALUE($F$22)&lt;=399,VALUE($F$22)&gt;499,$F$14="NO"),0,AL53-AL59)</f>
        <v>0</v>
      </c>
      <c r="AM61" s="547"/>
      <c r="AN61" s="547">
        <f>IF(OR(VALUE($F$22)&lt;=399,VALUE($F$22)&gt;499,$F$14="NO"),0,AN53-AN59)</f>
        <v>0</v>
      </c>
      <c r="AO61" s="547"/>
      <c r="AP61" s="550">
        <f>IF(OR(VALUE($F$22)&lt;=399,VALUE($F$22)&gt;499,$F$14="NO"),0,AP53-AP59)</f>
        <v>0</v>
      </c>
      <c r="AQ61" s="534">
        <f>ABS(SUMIF(V61:AP61,"&gt;0")-SUMIF(V61:AP61,"&lt;0"))</f>
        <v>0</v>
      </c>
      <c r="AS61" s="541"/>
    </row>
    <row r="62" spans="1:58" ht="15.95" hidden="1" customHeight="1">
      <c r="B62" s="274" t="str">
        <f t="shared" si="13"/>
        <v>Hide</v>
      </c>
      <c r="E62" s="347"/>
      <c r="K62" s="278"/>
      <c r="L62" s="275"/>
      <c r="M62" s="275"/>
      <c r="O62" s="283"/>
      <c r="P62" s="283"/>
      <c r="Q62" s="356"/>
      <c r="R62" s="528"/>
      <c r="S62" s="528"/>
      <c r="T62" s="529"/>
      <c r="U62" s="528"/>
      <c r="V62" s="529"/>
      <c r="W62" s="528"/>
      <c r="X62" s="529"/>
      <c r="Y62" s="528"/>
      <c r="Z62" s="529"/>
      <c r="AA62" s="528"/>
      <c r="AB62" s="529"/>
      <c r="AC62" s="528"/>
      <c r="AD62" s="529"/>
      <c r="AE62" s="551"/>
      <c r="AF62" s="529"/>
      <c r="AG62" s="551"/>
      <c r="AH62" s="529"/>
      <c r="AI62" s="551"/>
      <c r="AJ62" s="529"/>
      <c r="AK62" s="551"/>
      <c r="AL62" s="529"/>
      <c r="AM62" s="529"/>
      <c r="AN62" s="529"/>
      <c r="AO62" s="529"/>
      <c r="AP62" s="529"/>
      <c r="AQ62" s="529"/>
      <c r="AS62" s="541"/>
    </row>
    <row r="63" spans="1:58" ht="15" customHeight="1">
      <c r="B63" s="274" t="s">
        <v>62</v>
      </c>
      <c r="E63" s="347"/>
      <c r="K63" s="278"/>
      <c r="L63" s="275"/>
      <c r="M63" s="275"/>
      <c r="O63" s="283"/>
      <c r="P63" s="283"/>
      <c r="Q63" s="356"/>
      <c r="R63" s="527" t="str">
        <f>IF(AND($F$22&gt;"399",$F$22&lt;"500"),"OPERATING EXPENSES","EXPENDITURES")</f>
        <v>EXPENDITURES</v>
      </c>
      <c r="S63" s="528"/>
      <c r="T63" s="529"/>
      <c r="U63" s="528"/>
      <c r="V63" s="529"/>
      <c r="W63" s="528"/>
      <c r="X63" s="529"/>
      <c r="Y63" s="528"/>
      <c r="Z63" s="529"/>
      <c r="AA63" s="528"/>
      <c r="AB63" s="529"/>
      <c r="AC63" s="528"/>
      <c r="AD63" s="529"/>
      <c r="AE63" s="272"/>
      <c r="AF63" s="529"/>
      <c r="AG63" s="272"/>
      <c r="AH63" s="529"/>
      <c r="AI63" s="272"/>
      <c r="AJ63" s="529"/>
      <c r="AK63" s="272"/>
      <c r="AL63" s="529"/>
      <c r="AM63" s="529"/>
      <c r="AN63" s="532"/>
      <c r="AO63" s="532"/>
      <c r="AP63" s="532"/>
      <c r="AQ63" s="532"/>
      <c r="AS63" s="541"/>
    </row>
    <row r="64" spans="1:58" ht="3.95" customHeight="1">
      <c r="B64" s="274" t="s">
        <v>62</v>
      </c>
      <c r="E64" s="347"/>
      <c r="K64" s="278"/>
      <c r="L64" s="275"/>
      <c r="M64" s="275"/>
      <c r="O64" s="283"/>
      <c r="P64" s="283"/>
      <c r="Q64" s="356"/>
      <c r="R64" s="527"/>
      <c r="S64" s="528"/>
      <c r="T64" s="529"/>
      <c r="U64" s="528"/>
      <c r="V64" s="529"/>
      <c r="W64" s="528"/>
      <c r="X64" s="529"/>
      <c r="Y64" s="528"/>
      <c r="Z64" s="529"/>
      <c r="AA64" s="528"/>
      <c r="AB64" s="529"/>
      <c r="AC64" s="528"/>
      <c r="AD64" s="529"/>
      <c r="AE64" s="272"/>
      <c r="AF64" s="529"/>
      <c r="AG64" s="272"/>
      <c r="AH64" s="529"/>
      <c r="AI64" s="272"/>
      <c r="AJ64" s="529"/>
      <c r="AK64" s="272"/>
      <c r="AL64" s="529"/>
      <c r="AM64" s="529"/>
      <c r="AN64" s="532"/>
      <c r="AO64" s="532"/>
      <c r="AP64" s="532"/>
      <c r="AQ64" s="532"/>
      <c r="AS64" s="541"/>
    </row>
    <row r="65" spans="1:58" ht="15" customHeight="1">
      <c r="B65" s="274" t="str">
        <f>B69</f>
        <v>Show</v>
      </c>
      <c r="E65" s="347"/>
      <c r="F65" s="347"/>
      <c r="G65" s="347"/>
      <c r="K65" s="278"/>
      <c r="L65" s="275"/>
      <c r="M65" s="275"/>
      <c r="O65" s="283"/>
      <c r="P65" s="283"/>
      <c r="Q65" s="356"/>
      <c r="R65" s="558" t="str">
        <f>IF(AND($F$22&gt;"399",$F$22&lt;"500"),"Personnel and Administration","Administrative")</f>
        <v>Administrative</v>
      </c>
      <c r="S65" s="528"/>
      <c r="T65" s="529"/>
      <c r="U65" s="528"/>
      <c r="V65" s="529"/>
      <c r="W65" s="528"/>
      <c r="X65" s="529"/>
      <c r="Y65" s="528"/>
      <c r="Z65" s="529"/>
      <c r="AA65" s="528"/>
      <c r="AB65" s="529"/>
      <c r="AC65" s="528"/>
      <c r="AD65" s="529"/>
      <c r="AE65" s="272"/>
      <c r="AF65" s="529"/>
      <c r="AG65" s="272"/>
      <c r="AH65" s="529"/>
      <c r="AI65" s="272"/>
      <c r="AJ65" s="529"/>
      <c r="AK65" s="272"/>
      <c r="AL65" s="529"/>
      <c r="AM65" s="529"/>
      <c r="AN65" s="532"/>
      <c r="AO65" s="532"/>
      <c r="AP65" s="532"/>
      <c r="AQ65" s="532"/>
      <c r="AS65" s="541"/>
    </row>
    <row r="66" spans="1:58" ht="15.95" hidden="1" customHeight="1">
      <c r="B66" s="271" t="s">
        <v>31</v>
      </c>
      <c r="E66" s="336" t="str">
        <f>IF($F$22=0,0,IF(OR($F$14="No",VALUE($F$22)&lt;=399,VALUE($F$22)&gt;499),"500000..564999|566000..579999","500000..552098|552200..564999|566000..579999"))</f>
        <v>500000..564999|566000..579999</v>
      </c>
      <c r="F66" s="336"/>
      <c r="G66" s="347"/>
      <c r="H66" s="360" t="s">
        <v>336</v>
      </c>
      <c r="K66" s="278"/>
      <c r="L66" s="275"/>
      <c r="M66" s="275"/>
      <c r="O66" s="283"/>
      <c r="P66" s="283"/>
      <c r="Q66" s="356"/>
      <c r="R66" s="559"/>
      <c r="S66" s="528"/>
      <c r="T66" s="529"/>
      <c r="U66" s="528"/>
      <c r="V66" s="529"/>
      <c r="W66" s="528"/>
      <c r="X66" s="529"/>
      <c r="Y66" s="528"/>
      <c r="Z66" s="529"/>
      <c r="AA66" s="528"/>
      <c r="AB66" s="529"/>
      <c r="AC66" s="528"/>
      <c r="AD66" s="529"/>
      <c r="AE66" s="272"/>
      <c r="AF66" s="529"/>
      <c r="AG66" s="272"/>
      <c r="AH66" s="529"/>
      <c r="AI66" s="272"/>
      <c r="AJ66" s="529"/>
      <c r="AK66" s="272"/>
      <c r="AL66" s="529"/>
      <c r="AM66" s="529"/>
      <c r="AN66" s="532"/>
      <c r="AO66" s="532"/>
      <c r="AP66" s="532"/>
      <c r="AQ66" s="532"/>
      <c r="AS66" s="560"/>
    </row>
    <row r="67" spans="1:58" ht="15.6" customHeight="1">
      <c r="A67" s="271" t="s">
        <v>236</v>
      </c>
      <c r="B67" s="271" t="str">
        <f>IF(AQ67=0,"Hide","Show")</f>
        <v>Show</v>
      </c>
      <c r="K67" s="337" t="s">
        <v>485</v>
      </c>
      <c r="L67" s="275" t="str">
        <f>$F$22</f>
        <v>202</v>
      </c>
      <c r="M67" s="275" t="str">
        <f>$J$7</f>
        <v>10/1/2016..9/30/2017</v>
      </c>
      <c r="N67" s="274" t="str">
        <f>$D$6</f>
        <v>HARMONY CDD</v>
      </c>
      <c r="O67" s="387" t="str">
        <f>IF(K67="","500000 51699",K67&amp;" "&amp;"51699")</f>
        <v>549070 51699</v>
      </c>
      <c r="P67" s="283" t="str">
        <f>K67</f>
        <v>549070</v>
      </c>
      <c r="Q67" s="283"/>
      <c r="R67" s="552" t="s">
        <v>358</v>
      </c>
      <c r="S67" s="552"/>
      <c r="T67" s="2">
        <v>0</v>
      </c>
      <c r="U67" s="528"/>
      <c r="V67" s="2">
        <v>0</v>
      </c>
      <c r="W67" s="528"/>
      <c r="X67" s="2">
        <v>0</v>
      </c>
      <c r="Y67" s="528"/>
      <c r="Z67" s="2">
        <v>0</v>
      </c>
      <c r="AA67" s="528"/>
      <c r="AB67" s="2">
        <v>1331</v>
      </c>
      <c r="AC67" s="528"/>
      <c r="AD67" s="2">
        <v>0</v>
      </c>
      <c r="AE67" s="553"/>
      <c r="AF67" s="2">
        <v>0</v>
      </c>
      <c r="AG67" s="2"/>
      <c r="AH67" s="2">
        <v>0</v>
      </c>
      <c r="AI67" s="2"/>
      <c r="AJ67" s="554">
        <v>0</v>
      </c>
      <c r="AK67" s="2"/>
      <c r="AL67" s="555">
        <f>IF(ISERROR(AH67+AJ67),0,(AH67+AJ67))</f>
        <v>0</v>
      </c>
      <c r="AM67" s="2"/>
      <c r="AN67" s="540">
        <v>0</v>
      </c>
      <c r="AO67" s="2"/>
      <c r="AP67" s="554">
        <f>IF($F$13="YES",AF67,AN67)</f>
        <v>0</v>
      </c>
      <c r="AQ67" s="534">
        <f>ABS(SUMIF(V67:AP67,"&gt;0")-SUMIF(V67:AP67,"&lt;0"))</f>
        <v>1331</v>
      </c>
      <c r="AR67" s="561"/>
      <c r="AS67" s="535"/>
      <c r="AV67" s="346"/>
    </row>
    <row r="68" spans="1:58" ht="3.95" customHeight="1">
      <c r="B68" s="274" t="str">
        <f>B69</f>
        <v>Show</v>
      </c>
      <c r="N68" s="274"/>
      <c r="Q68" s="320"/>
      <c r="T68" s="562"/>
      <c r="V68" s="562"/>
      <c r="X68" s="562"/>
      <c r="Z68" s="562"/>
      <c r="AB68" s="562"/>
      <c r="AD68" s="562"/>
      <c r="AF68" s="562"/>
      <c r="AH68" s="562"/>
      <c r="AJ68" s="562"/>
      <c r="AL68" s="562"/>
      <c r="AN68" s="562"/>
      <c r="AO68" s="562"/>
      <c r="AP68" s="562"/>
      <c r="AQ68" s="562"/>
      <c r="AS68" s="563"/>
    </row>
    <row r="69" spans="1:58" ht="15" customHeight="1">
      <c r="B69" s="271" t="str">
        <f>IF(AQ69=0,"Hide","Show")</f>
        <v>Show</v>
      </c>
      <c r="N69" s="274"/>
      <c r="R69" s="556" t="str">
        <f>"Total "&amp;R65</f>
        <v>Total Administrative</v>
      </c>
      <c r="S69" s="525"/>
      <c r="T69" s="557">
        <f>SUM(T67:T68)</f>
        <v>0</v>
      </c>
      <c r="U69" s="564"/>
      <c r="V69" s="557">
        <f>SUM(V67:V68)</f>
        <v>0</v>
      </c>
      <c r="W69" s="564"/>
      <c r="X69" s="557">
        <f>SUM(X67:X68)</f>
        <v>0</v>
      </c>
      <c r="Y69" s="564"/>
      <c r="Z69" s="557">
        <f>SUM(Z67:Z68)</f>
        <v>0</v>
      </c>
      <c r="AA69" s="564"/>
      <c r="AB69" s="557">
        <f>SUM(AB67:AB68)</f>
        <v>1331</v>
      </c>
      <c r="AC69" s="564"/>
      <c r="AD69" s="557">
        <f>SUM(AD67:AD68)</f>
        <v>0</v>
      </c>
      <c r="AE69" s="551"/>
      <c r="AF69" s="557">
        <f>SUM(AF67:AF68)</f>
        <v>0</v>
      </c>
      <c r="AG69" s="565"/>
      <c r="AH69" s="557">
        <f>SUM(AH67:AH68)</f>
        <v>0</v>
      </c>
      <c r="AI69" s="565"/>
      <c r="AJ69" s="557">
        <f>SUM(AJ67:AJ68)</f>
        <v>0</v>
      </c>
      <c r="AK69" s="565"/>
      <c r="AL69" s="557">
        <f>SUM(AL67:AL68)</f>
        <v>0</v>
      </c>
      <c r="AM69" s="565"/>
      <c r="AN69" s="557">
        <f>SUM(AN67:AN68)</f>
        <v>0</v>
      </c>
      <c r="AO69" s="565"/>
      <c r="AP69" s="557">
        <f>SUM(AP67:AP68)</f>
        <v>0</v>
      </c>
      <c r="AQ69" s="534">
        <f>ABS(SUMIF(V69:AP69,"&gt;0")-SUMIF(V69:AP69,"&lt;0"))</f>
        <v>1331</v>
      </c>
      <c r="AS69" s="563"/>
    </row>
    <row r="70" spans="1:58" ht="9.9499999999999993" customHeight="1">
      <c r="B70" s="274" t="str">
        <f>B69</f>
        <v>Show</v>
      </c>
      <c r="N70" s="274"/>
      <c r="AO70" s="562"/>
      <c r="AS70" s="563"/>
    </row>
    <row r="71" spans="1:58" hidden="1">
      <c r="B71" s="271" t="s">
        <v>31</v>
      </c>
      <c r="E71" s="336" t="str">
        <f>IF($F$22=0,0,IF(OR($F$14="No",VALUE($F$22)&lt;=399,VALUE($F$22)&gt;499),"500000..564999|566000..579999","500000..552098|552200..564999|566000..579999"))</f>
        <v>500000..564999|566000..579999</v>
      </c>
      <c r="F71" s="300"/>
      <c r="H71" s="360" t="s">
        <v>364</v>
      </c>
      <c r="N71" s="274"/>
      <c r="R71" s="436"/>
      <c r="S71" s="436"/>
      <c r="T71" s="436"/>
      <c r="U71" s="436"/>
      <c r="V71" s="436"/>
      <c r="W71" s="436"/>
      <c r="X71" s="436"/>
      <c r="Y71" s="436"/>
      <c r="Z71" s="436"/>
      <c r="AA71" s="436"/>
      <c r="AB71" s="436"/>
      <c r="AC71" s="436"/>
      <c r="AD71" s="436"/>
      <c r="AE71" s="436"/>
      <c r="AF71" s="436"/>
      <c r="AG71" s="436"/>
      <c r="AH71" s="566">
        <f>$Z$149+$Z$150</f>
        <v>0</v>
      </c>
      <c r="AI71" s="436"/>
      <c r="AJ71" s="436"/>
      <c r="AK71" s="436"/>
      <c r="AL71" s="436"/>
      <c r="AM71" s="436"/>
      <c r="AN71" s="436"/>
      <c r="AO71" s="562"/>
      <c r="AP71" s="436"/>
      <c r="AS71" s="563"/>
    </row>
    <row r="72" spans="1:58" hidden="1">
      <c r="B72" s="271" t="s">
        <v>31</v>
      </c>
      <c r="N72" s="274"/>
      <c r="AO72" s="562"/>
      <c r="AS72" s="563"/>
    </row>
    <row r="73" spans="1:58" hidden="1">
      <c r="B73" s="271" t="s">
        <v>31</v>
      </c>
      <c r="H73" s="272" t="s">
        <v>365</v>
      </c>
      <c r="I73" s="412"/>
      <c r="N73" s="274"/>
      <c r="AO73" s="562"/>
      <c r="AS73" s="563"/>
    </row>
    <row r="74" spans="1:58" ht="15" hidden="1" customHeight="1">
      <c r="B74" s="271" t="str">
        <f>IF(AQ77=0,"Hide","Show")</f>
        <v>Hide</v>
      </c>
      <c r="I74" s="413">
        <f t="shared" ref="I74:I78" si="14">I73</f>
        <v>0</v>
      </c>
      <c r="N74" s="274"/>
      <c r="R74" s="567"/>
      <c r="AO74" s="562"/>
      <c r="AS74" s="563"/>
      <c r="AU74" s="362" t="s">
        <v>301</v>
      </c>
      <c r="AV74" s="362" t="str">
        <f>$V$33</f>
        <v>FY 2012</v>
      </c>
      <c r="AW74" s="362" t="str">
        <f>$X$33</f>
        <v>FY 2013</v>
      </c>
      <c r="AX74" s="362" t="str">
        <f>$Z$33</f>
        <v>FY 2014</v>
      </c>
      <c r="AY74" s="362" t="str">
        <f>$AB$33</f>
        <v>FY - 2015</v>
      </c>
      <c r="AZ74" s="362" t="s">
        <v>327</v>
      </c>
      <c r="BA74" s="362" t="s">
        <v>328</v>
      </c>
      <c r="BB74" s="362" t="s">
        <v>329</v>
      </c>
      <c r="BC74" s="362" t="s">
        <v>330</v>
      </c>
      <c r="BD74" s="362" t="s">
        <v>289</v>
      </c>
      <c r="BE74" s="362" t="s">
        <v>331</v>
      </c>
      <c r="BF74" s="362" t="s">
        <v>332</v>
      </c>
    </row>
    <row r="75" spans="1:58" ht="15.6" hidden="1" customHeight="1">
      <c r="A75" s="271" t="s">
        <v>236</v>
      </c>
      <c r="B75" s="271" t="str">
        <f>IF(AQ75=0,"Hide","Show")</f>
        <v>Hide</v>
      </c>
      <c r="I75" s="413">
        <f t="shared" si="14"/>
        <v>0</v>
      </c>
      <c r="K75" s="337"/>
      <c r="L75" s="275" t="str">
        <f>$F$22</f>
        <v>202</v>
      </c>
      <c r="M75" s="275" t="str">
        <f>$J$7</f>
        <v>10/1/2016..9/30/2017</v>
      </c>
      <c r="N75" s="274" t="str">
        <f>$D$6</f>
        <v>HARMONY CDD</v>
      </c>
      <c r="O75" s="387" t="str">
        <f>IF(I75="","500000 51800",K75&amp;" "&amp;I75)</f>
        <v xml:space="preserve"> 0</v>
      </c>
      <c r="P75" s="283">
        <f>K75</f>
        <v>0</v>
      </c>
      <c r="R75" s="552"/>
      <c r="T75" s="2">
        <v>0</v>
      </c>
      <c r="U75" s="562"/>
      <c r="V75" s="2">
        <v>0</v>
      </c>
      <c r="W75" s="528"/>
      <c r="X75" s="2">
        <v>0</v>
      </c>
      <c r="Y75" s="528"/>
      <c r="Z75" s="2">
        <v>0</v>
      </c>
      <c r="AA75" s="528"/>
      <c r="AB75" s="2">
        <v>0</v>
      </c>
      <c r="AC75" s="528"/>
      <c r="AD75" s="2">
        <v>0</v>
      </c>
      <c r="AE75" s="553"/>
      <c r="AF75" s="2">
        <v>0</v>
      </c>
      <c r="AG75" s="2"/>
      <c r="AH75" s="2">
        <v>0</v>
      </c>
      <c r="AI75" s="2"/>
      <c r="AJ75" s="554">
        <v>0</v>
      </c>
      <c r="AK75" s="2"/>
      <c r="AL75" s="555">
        <f>IF(ISERROR(AH75+AJ75),0,(AH75+AJ75))</f>
        <v>0</v>
      </c>
      <c r="AM75" s="2"/>
      <c r="AN75" s="540">
        <v>0</v>
      </c>
      <c r="AO75" s="2"/>
      <c r="AP75" s="554">
        <f>IF($F$13="YES",AF75,AN75)</f>
        <v>0</v>
      </c>
      <c r="AQ75" s="534">
        <f>ABS(SUMIF(V75:AP75,"&gt;0")-SUMIF(V75:AP75,"&lt;0"))</f>
        <v>0</v>
      </c>
      <c r="AS75" s="535"/>
    </row>
    <row r="76" spans="1:58" ht="3.95" hidden="1" customHeight="1">
      <c r="B76" s="274" t="s">
        <v>31</v>
      </c>
      <c r="I76" s="413">
        <f t="shared" si="14"/>
        <v>0</v>
      </c>
      <c r="N76" s="274"/>
      <c r="P76" s="283"/>
      <c r="T76" s="562"/>
      <c r="V76" s="562"/>
      <c r="X76" s="562"/>
      <c r="Z76" s="562"/>
      <c r="AB76" s="562"/>
      <c r="AD76" s="562"/>
      <c r="AF76" s="562"/>
      <c r="AH76" s="562"/>
      <c r="AJ76" s="562"/>
      <c r="AL76" s="562"/>
      <c r="AN76" s="562"/>
      <c r="AO76" s="562"/>
      <c r="AP76" s="562"/>
      <c r="AS76" s="563"/>
    </row>
    <row r="77" spans="1:58" ht="15" hidden="1" customHeight="1">
      <c r="B77" s="271" t="str">
        <f>IF(AQ77=0,"Hide","Show")</f>
        <v>Hide</v>
      </c>
      <c r="I77" s="413">
        <f t="shared" si="14"/>
        <v>0</v>
      </c>
      <c r="N77" s="274"/>
      <c r="P77" s="283"/>
      <c r="R77" s="568" t="str">
        <f>"Total "&amp;($R74)</f>
        <v xml:space="preserve">Total </v>
      </c>
      <c r="T77" s="557">
        <f>SUM(T75:T76)</f>
        <v>0</v>
      </c>
      <c r="U77" s="272"/>
      <c r="V77" s="557">
        <f>SUM(V75:V76)</f>
        <v>0</v>
      </c>
      <c r="W77" s="564"/>
      <c r="X77" s="557">
        <f>SUM(X75:X76)</f>
        <v>0</v>
      </c>
      <c r="Y77" s="564"/>
      <c r="Z77" s="557">
        <f>SUM(Z75:Z76)</f>
        <v>0</v>
      </c>
      <c r="AA77" s="564"/>
      <c r="AB77" s="557">
        <f>SUM(AB75:AB76)</f>
        <v>0</v>
      </c>
      <c r="AC77" s="564"/>
      <c r="AD77" s="557">
        <f>SUM(AD75:AD76)</f>
        <v>0</v>
      </c>
      <c r="AE77" s="551"/>
      <c r="AF77" s="557">
        <f>SUM(AF75:AF76)</f>
        <v>0</v>
      </c>
      <c r="AG77" s="565"/>
      <c r="AH77" s="557">
        <f>SUM(AH75:AH76)</f>
        <v>0</v>
      </c>
      <c r="AI77" s="565"/>
      <c r="AJ77" s="557">
        <f>SUM(AJ75:AJ76)</f>
        <v>0</v>
      </c>
      <c r="AK77" s="565"/>
      <c r="AL77" s="557">
        <f>SUM(AL75:AL76)</f>
        <v>0</v>
      </c>
      <c r="AM77" s="565"/>
      <c r="AN77" s="557">
        <f>SUM(AN75:AN76)</f>
        <v>0</v>
      </c>
      <c r="AO77" s="565"/>
      <c r="AP77" s="557">
        <f>SUM(AP75:AP76)</f>
        <v>0</v>
      </c>
      <c r="AQ77" s="534">
        <f>ABS(SUMIF(V77:AP77,"&gt;0")-SUMIF(V77:AP77,"&lt;0"))</f>
        <v>0</v>
      </c>
      <c r="AS77" s="563"/>
      <c r="AU77" s="274">
        <f>SUM(T74:T76)</f>
        <v>0</v>
      </c>
      <c r="AV77" s="274">
        <f>SUM(V74:V76)</f>
        <v>0</v>
      </c>
      <c r="AW77" s="274">
        <f>SUM(X74:X76)</f>
        <v>0</v>
      </c>
      <c r="AX77" s="274">
        <f>SUM(Z74:Z76)</f>
        <v>0</v>
      </c>
      <c r="AY77" s="274">
        <f>SUM(AB74:AB76)</f>
        <v>0</v>
      </c>
      <c r="AZ77" s="274">
        <f>SUM(AD74:AD76)</f>
        <v>0</v>
      </c>
      <c r="BA77" s="274">
        <f>SUM(AF74:AF76)</f>
        <v>0</v>
      </c>
      <c r="BB77" s="274">
        <f>SUM(AH74:AH76)</f>
        <v>0</v>
      </c>
      <c r="BC77" s="274">
        <f>SUM(AJ74:AJ76)</f>
        <v>0</v>
      </c>
      <c r="BD77" s="274">
        <f>SUM(AL74:AL76)</f>
        <v>0</v>
      </c>
      <c r="BE77" s="274">
        <f>SUM(AN74:AN76)</f>
        <v>0</v>
      </c>
      <c r="BF77" s="274">
        <f>SUM(AP74:AP76)</f>
        <v>0</v>
      </c>
    </row>
    <row r="78" spans="1:58" ht="9.9499999999999993" hidden="1" customHeight="1">
      <c r="B78" s="271" t="str">
        <f>B77</f>
        <v>Hide</v>
      </c>
      <c r="I78" s="413">
        <f t="shared" si="14"/>
        <v>0</v>
      </c>
      <c r="N78" s="274"/>
      <c r="P78" s="283"/>
      <c r="AO78" s="562"/>
      <c r="AS78" s="563"/>
    </row>
    <row r="79" spans="1:58" hidden="1">
      <c r="B79" s="271" t="s">
        <v>31</v>
      </c>
      <c r="N79" s="274"/>
      <c r="P79" s="283"/>
      <c r="AO79" s="562"/>
      <c r="AS79" s="563"/>
    </row>
    <row r="80" spans="1:58" hidden="1">
      <c r="B80" s="271" t="s">
        <v>31</v>
      </c>
      <c r="N80" s="274"/>
      <c r="P80" s="283"/>
      <c r="R80" s="569" t="s">
        <v>437</v>
      </c>
      <c r="S80" s="569"/>
      <c r="T80" s="569">
        <f>SUM(AU76:AU79)</f>
        <v>0</v>
      </c>
      <c r="U80" s="569"/>
      <c r="V80" s="569">
        <f>SUM(AV76:AV79)</f>
        <v>0</v>
      </c>
      <c r="W80" s="569"/>
      <c r="X80" s="569">
        <f>SUM(AW76:AW79)</f>
        <v>0</v>
      </c>
      <c r="Y80" s="569"/>
      <c r="Z80" s="569">
        <f>SUM(AX76:AX79)</f>
        <v>0</v>
      </c>
      <c r="AA80" s="569"/>
      <c r="AB80" s="569">
        <f>SUM(AY76:AY79)</f>
        <v>0</v>
      </c>
      <c r="AC80" s="569"/>
      <c r="AD80" s="569">
        <f>SUM(AZ76:AZ79)</f>
        <v>0</v>
      </c>
      <c r="AE80" s="569"/>
      <c r="AF80" s="569">
        <f>SUM(BA76:BA79)</f>
        <v>0</v>
      </c>
      <c r="AG80" s="569"/>
      <c r="AH80" s="569">
        <f>SUM(BB76:BB79)</f>
        <v>0</v>
      </c>
      <c r="AI80" s="569"/>
      <c r="AJ80" s="569">
        <f>SUM(BC76:BC79)</f>
        <v>0</v>
      </c>
      <c r="AK80" s="569"/>
      <c r="AL80" s="569">
        <f>SUM(BD76:BD79)</f>
        <v>0</v>
      </c>
      <c r="AM80" s="569"/>
      <c r="AN80" s="569">
        <f>SUM(BE76:BE79)</f>
        <v>0</v>
      </c>
      <c r="AO80" s="256"/>
      <c r="AP80" s="569">
        <f>SUM(BF76:BF79)</f>
        <v>0</v>
      </c>
      <c r="AS80" s="563"/>
    </row>
    <row r="81" spans="1:45" ht="27" hidden="1">
      <c r="B81" s="271" t="s">
        <v>31</v>
      </c>
      <c r="E81" s="427" t="s">
        <v>438</v>
      </c>
      <c r="N81" s="274"/>
      <c r="P81" s="283"/>
      <c r="R81" s="436"/>
      <c r="S81" s="436"/>
      <c r="T81" s="436"/>
      <c r="U81" s="436"/>
      <c r="V81" s="436"/>
      <c r="W81" s="436"/>
      <c r="X81" s="436"/>
      <c r="Y81" s="436"/>
      <c r="Z81" s="436"/>
      <c r="AA81" s="436"/>
      <c r="AB81" s="436"/>
      <c r="AC81" s="436"/>
      <c r="AD81" s="436"/>
      <c r="AE81" s="436"/>
      <c r="AF81" s="436"/>
      <c r="AG81" s="436"/>
      <c r="AH81" s="566">
        <f>$Z$151+$Z$152+$Z$153+$Z$154</f>
        <v>0</v>
      </c>
      <c r="AI81" s="436"/>
      <c r="AJ81" s="436"/>
      <c r="AK81" s="436"/>
      <c r="AL81" s="436"/>
      <c r="AM81" s="436"/>
      <c r="AN81" s="436"/>
      <c r="AO81" s="562"/>
      <c r="AP81" s="436"/>
      <c r="AS81" s="563"/>
    </row>
    <row r="82" spans="1:45" ht="15" hidden="1" customHeight="1">
      <c r="B82" s="271" t="str">
        <f>IF(AQ85=0,"Hide","Show")</f>
        <v>Hide</v>
      </c>
      <c r="L82" s="275"/>
      <c r="M82" s="275"/>
      <c r="N82" s="274"/>
      <c r="O82" s="280"/>
      <c r="P82" s="283"/>
      <c r="R82" s="570" t="s">
        <v>439</v>
      </c>
      <c r="AO82" s="562"/>
      <c r="AS82" s="563"/>
    </row>
    <row r="83" spans="1:45" ht="15.6" hidden="1" customHeight="1">
      <c r="A83" s="271" t="s">
        <v>236</v>
      </c>
      <c r="B83" s="271" t="str">
        <f>IF(AQ83=0,"Hide","Show")</f>
        <v>Hide</v>
      </c>
      <c r="K83" s="337"/>
      <c r="L83" s="275" t="str">
        <f>$F$22</f>
        <v>202</v>
      </c>
      <c r="M83" s="275" t="str">
        <f>$J$7</f>
        <v>10/1/2016..9/30/2017</v>
      </c>
      <c r="N83" s="274" t="str">
        <f>$D$6</f>
        <v>HARMONY CDD</v>
      </c>
      <c r="O83" s="387" t="str">
        <f>IF(K83="","565999",K83)</f>
        <v>565999</v>
      </c>
      <c r="P83" s="283">
        <f>K83</f>
        <v>0</v>
      </c>
      <c r="R83" s="552"/>
      <c r="T83" s="571">
        <v>0</v>
      </c>
      <c r="U83" s="562"/>
      <c r="V83" s="571">
        <v>0</v>
      </c>
      <c r="W83" s="537"/>
      <c r="X83" s="571">
        <v>0</v>
      </c>
      <c r="Y83" s="537"/>
      <c r="Z83" s="571">
        <v>0</v>
      </c>
      <c r="AA83" s="537"/>
      <c r="AB83" s="571">
        <v>0</v>
      </c>
      <c r="AC83" s="537"/>
      <c r="AD83" s="571">
        <v>0</v>
      </c>
      <c r="AE83" s="571"/>
      <c r="AF83" s="571">
        <v>0</v>
      </c>
      <c r="AG83" s="571"/>
      <c r="AH83" s="571">
        <v>0</v>
      </c>
      <c r="AI83" s="571"/>
      <c r="AJ83" s="572">
        <v>0</v>
      </c>
      <c r="AK83" s="571"/>
      <c r="AL83" s="536">
        <f>IF(ISERROR(AH83+AJ83),0,(AH83+AJ83))</f>
        <v>0</v>
      </c>
      <c r="AM83" s="571"/>
      <c r="AN83" s="540">
        <v>0</v>
      </c>
      <c r="AO83" s="571"/>
      <c r="AP83" s="572">
        <f>IF($F$13="YES",AF83,AN83)</f>
        <v>0</v>
      </c>
      <c r="AQ83" s="534">
        <f>ABS(SUMIF(V83:AP83,"&gt;0")-SUMIF(V83:AP83,"&lt;0"))</f>
        <v>0</v>
      </c>
      <c r="AS83" s="535"/>
    </row>
    <row r="84" spans="1:45" ht="3.95" hidden="1" customHeight="1">
      <c r="B84" s="274" t="s">
        <v>31</v>
      </c>
      <c r="N84" s="274"/>
      <c r="P84" s="283"/>
      <c r="T84" s="562"/>
      <c r="V84" s="562"/>
      <c r="X84" s="562"/>
      <c r="Z84" s="562"/>
      <c r="AB84" s="562"/>
      <c r="AD84" s="562"/>
      <c r="AF84" s="562"/>
      <c r="AH84" s="562"/>
      <c r="AJ84" s="562"/>
      <c r="AL84" s="562"/>
      <c r="AN84" s="562"/>
      <c r="AO84" s="562"/>
      <c r="AP84" s="562"/>
      <c r="AS84" s="563"/>
    </row>
    <row r="85" spans="1:45" ht="15" hidden="1" customHeight="1">
      <c r="B85" s="271" t="str">
        <f>IF(AQ85=0,"Hide","Show")</f>
        <v>Hide</v>
      </c>
      <c r="N85" s="274"/>
      <c r="P85" s="283"/>
      <c r="R85" s="573" t="s">
        <v>440</v>
      </c>
      <c r="T85" s="557">
        <f>SUM(T83:T84)</f>
        <v>0</v>
      </c>
      <c r="U85" s="272"/>
      <c r="V85" s="557">
        <f>SUM(V83:V84)</f>
        <v>0</v>
      </c>
      <c r="W85" s="564"/>
      <c r="X85" s="557">
        <f>SUM(X83:X84)</f>
        <v>0</v>
      </c>
      <c r="Y85" s="564"/>
      <c r="Z85" s="557">
        <f>SUM(Z83:Z84)</f>
        <v>0</v>
      </c>
      <c r="AA85" s="564"/>
      <c r="AB85" s="557">
        <f>SUM(AB83:AB84)</f>
        <v>0</v>
      </c>
      <c r="AC85" s="564"/>
      <c r="AD85" s="557">
        <f>SUM(AD83:AD84)</f>
        <v>0</v>
      </c>
      <c r="AE85" s="551"/>
      <c r="AF85" s="557">
        <f>SUM(AF83:AF84)</f>
        <v>0</v>
      </c>
      <c r="AG85" s="565"/>
      <c r="AH85" s="557">
        <f>SUM(AH83:AH84)</f>
        <v>0</v>
      </c>
      <c r="AI85" s="565"/>
      <c r="AJ85" s="557">
        <f>SUM(AJ83:AJ84)</f>
        <v>0</v>
      </c>
      <c r="AK85" s="565"/>
      <c r="AL85" s="557">
        <f>SUM(AL83:AL84)</f>
        <v>0</v>
      </c>
      <c r="AM85" s="565"/>
      <c r="AN85" s="557">
        <f>SUM(AN83:AN84)</f>
        <v>0</v>
      </c>
      <c r="AO85" s="565"/>
      <c r="AP85" s="557">
        <f>SUM(AP83:AP84)</f>
        <v>0</v>
      </c>
      <c r="AQ85" s="534">
        <f>ABS(SUMIF(V85:AP85,"&gt;0")-SUMIF(V85:AP85,"&lt;0"))</f>
        <v>0</v>
      </c>
      <c r="AS85" s="563"/>
    </row>
    <row r="86" spans="1:45" ht="9.9499999999999993" hidden="1" customHeight="1">
      <c r="B86" s="271" t="str">
        <f>B85</f>
        <v>Hide</v>
      </c>
      <c r="E86" s="336" t="str">
        <f>IF($F$22=0,0,IF(OR($F$14="No",VALUE($F$22)&lt;=399,VALUE($F$22)&gt;499),"500000..564999|566000..579999","500000..552016|552028..552039|552046..564999|566000..579999"))</f>
        <v>500000..564999|566000..579999</v>
      </c>
      <c r="F86" s="300"/>
      <c r="H86" s="429" t="s">
        <v>441</v>
      </c>
      <c r="N86" s="274"/>
      <c r="P86" s="283"/>
      <c r="AO86" s="562"/>
      <c r="AS86" s="563"/>
    </row>
    <row r="87" spans="1:45" ht="15" customHeight="1">
      <c r="B87" s="271" t="str">
        <f>IF(AQ92=0,"Hide","Show")</f>
        <v>Show</v>
      </c>
      <c r="N87" s="274"/>
      <c r="P87" s="283"/>
      <c r="R87" s="570" t="s">
        <v>166</v>
      </c>
      <c r="AO87" s="562"/>
      <c r="AS87" s="563"/>
    </row>
    <row r="88" spans="1:45" ht="15.6" customHeight="1">
      <c r="A88" s="271" t="s">
        <v>236</v>
      </c>
      <c r="B88" s="271" t="str">
        <f t="shared" ref="B88:B90" si="15">IF(AQ88=0,"Hide","Show")</f>
        <v>Show</v>
      </c>
      <c r="K88" s="337" t="s">
        <v>486</v>
      </c>
      <c r="L88" s="275" t="str">
        <f t="shared" ref="L88:L90" si="16">$F$22</f>
        <v>202</v>
      </c>
      <c r="M88" s="275" t="str">
        <f t="shared" ref="M88:M90" si="17">$J$7</f>
        <v>10/1/2016..9/30/2017</v>
      </c>
      <c r="N88" s="274" t="str">
        <f t="shared" ref="N88:N90" si="18">$D$6</f>
        <v>HARMONY CDD</v>
      </c>
      <c r="O88" s="387" t="str">
        <f t="shared" ref="O88:O90" si="19">IF(K88="","500000 51799",K88&amp;" "&amp;"51799")</f>
        <v>571001 51799</v>
      </c>
      <c r="P88" s="283" t="str">
        <f t="shared" ref="P88:P90" si="20">K88</f>
        <v>571001</v>
      </c>
      <c r="R88" s="552" t="s">
        <v>487</v>
      </c>
      <c r="T88" s="571">
        <v>0</v>
      </c>
      <c r="U88" s="562"/>
      <c r="V88" s="571">
        <v>0</v>
      </c>
      <c r="W88" s="537"/>
      <c r="X88" s="571">
        <v>0</v>
      </c>
      <c r="Y88" s="537"/>
      <c r="Z88" s="571">
        <v>0</v>
      </c>
      <c r="AA88" s="537"/>
      <c r="AB88" s="571">
        <v>290000</v>
      </c>
      <c r="AC88" s="537"/>
      <c r="AD88" s="571">
        <v>0</v>
      </c>
      <c r="AE88" s="571"/>
      <c r="AF88" s="571">
        <v>0</v>
      </c>
      <c r="AG88" s="571"/>
      <c r="AH88" s="571">
        <v>0</v>
      </c>
      <c r="AI88" s="571"/>
      <c r="AJ88" s="572">
        <v>0</v>
      </c>
      <c r="AK88" s="571"/>
      <c r="AL88" s="536">
        <f t="shared" ref="AL88:AL90" si="21">IF(ISERROR(AH88+AJ88),0,(AH88+AJ88))</f>
        <v>0</v>
      </c>
      <c r="AM88" s="571"/>
      <c r="AN88" s="540">
        <v>0</v>
      </c>
      <c r="AO88" s="571"/>
      <c r="AP88" s="572">
        <f t="shared" ref="AP88:AP90" si="22">IF($F$13="YES",AF88,AN88)</f>
        <v>0</v>
      </c>
      <c r="AQ88" s="534">
        <f t="shared" ref="AQ88:AQ90" si="23">ABS(SUMIF(V88:AP88,"&gt;0")-SUMIF(V88:AP88,"&lt;0"))</f>
        <v>290000</v>
      </c>
      <c r="AS88" s="535"/>
    </row>
    <row r="89" spans="1:45" ht="15.6" customHeight="1">
      <c r="A89" s="271" t="s">
        <v>311</v>
      </c>
      <c r="B89" s="271" t="str">
        <f t="shared" si="15"/>
        <v>Show</v>
      </c>
      <c r="K89" s="337" t="str">
        <f>"571006"</f>
        <v>571006</v>
      </c>
      <c r="L89" s="275" t="str">
        <f t="shared" si="16"/>
        <v>202</v>
      </c>
      <c r="M89" s="275" t="str">
        <f t="shared" si="17"/>
        <v>10/1/2016..9/30/2017</v>
      </c>
      <c r="N89" s="274" t="str">
        <f t="shared" si="18"/>
        <v>HARMONY CDD</v>
      </c>
      <c r="O89" s="387" t="str">
        <f t="shared" si="19"/>
        <v>571006 51799</v>
      </c>
      <c r="P89" s="283" t="str">
        <f t="shared" si="20"/>
        <v>571006</v>
      </c>
      <c r="R89" s="552" t="s">
        <v>488</v>
      </c>
      <c r="T89" s="571">
        <v>0</v>
      </c>
      <c r="U89" s="562"/>
      <c r="V89" s="571">
        <v>0</v>
      </c>
      <c r="W89" s="537"/>
      <c r="X89" s="571">
        <v>0</v>
      </c>
      <c r="Y89" s="537"/>
      <c r="Z89" s="571">
        <v>0</v>
      </c>
      <c r="AA89" s="537"/>
      <c r="AB89" s="571">
        <v>5000</v>
      </c>
      <c r="AC89" s="537"/>
      <c r="AD89" s="571">
        <v>0</v>
      </c>
      <c r="AE89" s="571"/>
      <c r="AF89" s="571">
        <v>0</v>
      </c>
      <c r="AG89" s="571"/>
      <c r="AH89" s="571">
        <v>0</v>
      </c>
      <c r="AI89" s="571"/>
      <c r="AJ89" s="572">
        <v>0</v>
      </c>
      <c r="AK89" s="571"/>
      <c r="AL89" s="536">
        <f t="shared" si="21"/>
        <v>0</v>
      </c>
      <c r="AM89" s="571"/>
      <c r="AN89" s="540">
        <v>0</v>
      </c>
      <c r="AO89" s="571"/>
      <c r="AP89" s="572">
        <f t="shared" si="22"/>
        <v>0</v>
      </c>
      <c r="AQ89" s="534">
        <f t="shared" si="23"/>
        <v>5000</v>
      </c>
      <c r="AS89" s="535"/>
    </row>
    <row r="90" spans="1:45" ht="15.6" customHeight="1">
      <c r="A90" s="271" t="s">
        <v>311</v>
      </c>
      <c r="B90" s="271" t="str">
        <f t="shared" si="15"/>
        <v>Show</v>
      </c>
      <c r="K90" s="337" t="str">
        <f>"572001"</f>
        <v>572001</v>
      </c>
      <c r="L90" s="275" t="str">
        <f t="shared" si="16"/>
        <v>202</v>
      </c>
      <c r="M90" s="275" t="str">
        <f t="shared" si="17"/>
        <v>10/1/2016..9/30/2017</v>
      </c>
      <c r="N90" s="274" t="str">
        <f t="shared" si="18"/>
        <v>HARMONY CDD</v>
      </c>
      <c r="O90" s="387" t="str">
        <f t="shared" si="19"/>
        <v>572001 51799</v>
      </c>
      <c r="P90" s="283" t="str">
        <f t="shared" si="20"/>
        <v>572001</v>
      </c>
      <c r="R90" s="552" t="s">
        <v>443</v>
      </c>
      <c r="T90" s="571">
        <v>0</v>
      </c>
      <c r="U90" s="562"/>
      <c r="V90" s="571">
        <v>0</v>
      </c>
      <c r="W90" s="537"/>
      <c r="X90" s="571">
        <v>0</v>
      </c>
      <c r="Y90" s="537"/>
      <c r="Z90" s="571">
        <v>0</v>
      </c>
      <c r="AA90" s="537"/>
      <c r="AB90" s="571">
        <v>933188</v>
      </c>
      <c r="AC90" s="537"/>
      <c r="AD90" s="571">
        <v>0</v>
      </c>
      <c r="AE90" s="571"/>
      <c r="AF90" s="571">
        <v>0</v>
      </c>
      <c r="AG90" s="571"/>
      <c r="AH90" s="571">
        <v>0</v>
      </c>
      <c r="AI90" s="571"/>
      <c r="AJ90" s="572">
        <v>0</v>
      </c>
      <c r="AK90" s="571"/>
      <c r="AL90" s="536">
        <f t="shared" si="21"/>
        <v>0</v>
      </c>
      <c r="AM90" s="571"/>
      <c r="AN90" s="540">
        <v>0</v>
      </c>
      <c r="AO90" s="571"/>
      <c r="AP90" s="572">
        <f t="shared" si="22"/>
        <v>0</v>
      </c>
      <c r="AQ90" s="534">
        <f t="shared" si="23"/>
        <v>933188</v>
      </c>
      <c r="AS90" s="535"/>
    </row>
    <row r="91" spans="1:45" ht="3.95" hidden="1" customHeight="1">
      <c r="B91" s="274" t="s">
        <v>31</v>
      </c>
      <c r="N91" s="274"/>
      <c r="P91" s="283"/>
      <c r="T91" s="562"/>
      <c r="V91" s="562"/>
      <c r="X91" s="562"/>
      <c r="Z91" s="562"/>
      <c r="AB91" s="562"/>
      <c r="AD91" s="562"/>
      <c r="AF91" s="562"/>
      <c r="AH91" s="562"/>
      <c r="AJ91" s="562"/>
      <c r="AL91" s="562"/>
      <c r="AN91" s="562"/>
      <c r="AO91" s="562"/>
      <c r="AP91" s="562"/>
      <c r="AS91" s="563"/>
    </row>
    <row r="92" spans="1:45" ht="15" customHeight="1">
      <c r="B92" s="271" t="str">
        <f>IF(AQ92=0,"Hide","Show")</f>
        <v>Show</v>
      </c>
      <c r="N92" s="274"/>
      <c r="P92" s="283"/>
      <c r="R92" s="574" t="s">
        <v>444</v>
      </c>
      <c r="T92" s="557">
        <f>SUM(T88:T91)</f>
        <v>0</v>
      </c>
      <c r="U92" s="272"/>
      <c r="V92" s="557">
        <f>SUM(V88:V91)</f>
        <v>0</v>
      </c>
      <c r="W92" s="564"/>
      <c r="X92" s="557">
        <f>SUM(X88:X91)</f>
        <v>0</v>
      </c>
      <c r="Y92" s="564"/>
      <c r="Z92" s="557">
        <f>SUM(Z88:Z91)</f>
        <v>0</v>
      </c>
      <c r="AA92" s="564"/>
      <c r="AB92" s="557">
        <f>SUM(AB88:AB91)</f>
        <v>1228188</v>
      </c>
      <c r="AC92" s="564"/>
      <c r="AD92" s="557">
        <f>SUM(AD88:AD91)</f>
        <v>0</v>
      </c>
      <c r="AE92" s="551"/>
      <c r="AF92" s="557">
        <f>SUM(AF88:AF91)</f>
        <v>0</v>
      </c>
      <c r="AG92" s="565"/>
      <c r="AH92" s="557">
        <f>SUM(AH88:AH91)</f>
        <v>0</v>
      </c>
      <c r="AI92" s="565"/>
      <c r="AJ92" s="557">
        <f>SUM(AJ88:AJ91)</f>
        <v>0</v>
      </c>
      <c r="AK92" s="565"/>
      <c r="AL92" s="557">
        <f>SUM(AL88:AL91)</f>
        <v>0</v>
      </c>
      <c r="AM92" s="565"/>
      <c r="AN92" s="557">
        <f>SUM(AN88:AN91)</f>
        <v>0</v>
      </c>
      <c r="AO92" s="565"/>
      <c r="AP92" s="557">
        <f>SUM(AP88:AP91)</f>
        <v>0</v>
      </c>
      <c r="AQ92" s="534">
        <f>ABS(SUMIF(V92:AP92,"&gt;0")-SUMIF(V92:AP92,"&lt;0"))</f>
        <v>1228188</v>
      </c>
      <c r="AS92" s="563"/>
    </row>
    <row r="93" spans="1:45" ht="9.9499999999999993" customHeight="1">
      <c r="B93" s="271" t="str">
        <f>B92</f>
        <v>Show</v>
      </c>
      <c r="N93" s="274"/>
      <c r="P93" s="283"/>
      <c r="AO93" s="562"/>
      <c r="AS93" s="563"/>
    </row>
    <row r="94" spans="1:45" ht="15" hidden="1" customHeight="1">
      <c r="B94" s="271" t="str">
        <f>IF(AQ94=0,"Hide","Show")</f>
        <v>Hide</v>
      </c>
      <c r="N94" s="274"/>
      <c r="P94" s="283"/>
      <c r="R94" s="545" t="str">
        <f>IF(AND($F$22&gt;"399",$F$22&lt;"500"),"TOTAL OPERATING EXPENSES","TOTAL EXPENDITURES")</f>
        <v>TOTAL EXPENDITURES</v>
      </c>
      <c r="S94" s="575"/>
      <c r="T94" s="547">
        <f>IF($F$6="no",0,SUM(T92+T85+T80+T69))</f>
        <v>0</v>
      </c>
      <c r="U94" s="575"/>
      <c r="V94" s="547">
        <f>IF($F$6="no",0,SUM(V92+V85+V80+V69))</f>
        <v>0</v>
      </c>
      <c r="W94" s="575"/>
      <c r="X94" s="547">
        <f>IF($F$6="no",0,SUM(X92+X85+X80+X69))</f>
        <v>0</v>
      </c>
      <c r="Y94" s="575"/>
      <c r="Z94" s="547">
        <f>IF($F$6="no",0,SUM(Z92+Z85+Z80+Z69))</f>
        <v>0</v>
      </c>
      <c r="AA94" s="575"/>
      <c r="AB94" s="547">
        <f>IF($F$6="no",0,SUM(AB92+AB85+AB80+AB69))</f>
        <v>0</v>
      </c>
      <c r="AC94" s="575"/>
      <c r="AD94" s="547">
        <f>IF($F$6="no",0,SUM(AD92+AD85+AD80+AD69))</f>
        <v>0</v>
      </c>
      <c r="AE94" s="575"/>
      <c r="AF94" s="547">
        <f>IF($F$6="no",0,SUM(AF92+AF85+AF80+AF69))</f>
        <v>0</v>
      </c>
      <c r="AG94" s="575"/>
      <c r="AH94" s="547">
        <f>IF($F$6="no",0,SUM(AH92+AH85+AH80+AH69))</f>
        <v>0</v>
      </c>
      <c r="AI94" s="575"/>
      <c r="AJ94" s="547">
        <f>IF($F$6="no",0,SUM(AJ92+AJ85+AJ80+AJ69))</f>
        <v>0</v>
      </c>
      <c r="AK94" s="575"/>
      <c r="AL94" s="547">
        <f>IF($F$6="no",0,SUM(AL92+AL85+AL80+AL69))</f>
        <v>0</v>
      </c>
      <c r="AM94" s="575"/>
      <c r="AN94" s="547">
        <f>IF($F$6="no",0,SUM(AN92+AN85+AN80+AN69))</f>
        <v>0</v>
      </c>
      <c r="AO94" s="547"/>
      <c r="AP94" s="550">
        <f>IF($F$6="no",0,SUM(AP92+AP85+AP80+AP69))</f>
        <v>0</v>
      </c>
      <c r="AQ94" s="534">
        <f>ABS(SUMIF(V94:AP94,"&gt;0")-SUMIF(V94:AP94,"&lt;0"))</f>
        <v>0</v>
      </c>
      <c r="AS94" s="563"/>
    </row>
    <row r="95" spans="1:45" ht="9.9499999999999993" hidden="1" customHeight="1">
      <c r="B95" s="271" t="str">
        <f>B94</f>
        <v>Hide</v>
      </c>
      <c r="E95" s="336" t="str">
        <f>IF($F$22=0,0,IF(OR($F$14="No",VALUE($F$22)&lt;=399,VALUE($F$22)&gt;499),"500000..564999|566000..579999","500000..552016|552028..552039|552046..564999|566000..579999"))</f>
        <v>500000..564999|566000..579999</v>
      </c>
      <c r="F95" s="300"/>
      <c r="H95" s="433">
        <v>58100</v>
      </c>
      <c r="N95" s="274"/>
      <c r="P95" s="283"/>
      <c r="AO95" s="562"/>
      <c r="AS95" s="563"/>
    </row>
    <row r="96" spans="1:45" ht="15" hidden="1" customHeight="1">
      <c r="B96" s="271" t="str">
        <f>IF(AQ99=0,"Hide","Show")</f>
        <v>Hide</v>
      </c>
      <c r="N96" s="274"/>
      <c r="P96" s="283"/>
      <c r="R96" s="570" t="s">
        <v>445</v>
      </c>
      <c r="AO96" s="562"/>
      <c r="AQ96" s="534"/>
      <c r="AS96" s="563"/>
    </row>
    <row r="97" spans="1:45" ht="15.6" hidden="1" customHeight="1">
      <c r="A97" s="271" t="s">
        <v>236</v>
      </c>
      <c r="B97" s="271" t="str">
        <f>IF(AQ97=0,"Hide","Show")</f>
        <v>Hide</v>
      </c>
      <c r="K97" s="337"/>
      <c r="L97" s="275" t="str">
        <f>$F$22</f>
        <v>202</v>
      </c>
      <c r="M97" s="275" t="str">
        <f>$J$7</f>
        <v>10/1/2016..9/30/2017</v>
      </c>
      <c r="N97" s="274" t="str">
        <f>$D$6</f>
        <v>HARMONY CDD</v>
      </c>
      <c r="O97" s="387" t="str">
        <f>IF(K97="","500000 58100",K97&amp;" "&amp;"58100")</f>
        <v>500000 58100</v>
      </c>
      <c r="P97" s="283">
        <f>K97</f>
        <v>0</v>
      </c>
      <c r="R97" s="552"/>
      <c r="T97" s="571">
        <v>0</v>
      </c>
      <c r="U97" s="562"/>
      <c r="V97" s="571">
        <v>0</v>
      </c>
      <c r="W97" s="537"/>
      <c r="X97" s="571">
        <v>0</v>
      </c>
      <c r="Y97" s="537"/>
      <c r="Z97" s="571">
        <v>0</v>
      </c>
      <c r="AA97" s="537"/>
      <c r="AB97" s="571">
        <v>0</v>
      </c>
      <c r="AC97" s="537"/>
      <c r="AD97" s="571">
        <v>0</v>
      </c>
      <c r="AE97" s="571"/>
      <c r="AF97" s="571">
        <v>0</v>
      </c>
      <c r="AG97" s="571"/>
      <c r="AH97" s="571">
        <v>0</v>
      </c>
      <c r="AI97" s="571"/>
      <c r="AJ97" s="572">
        <v>0</v>
      </c>
      <c r="AK97" s="571"/>
      <c r="AL97" s="536">
        <f>IF(ISERROR(AH97+AJ97),0,(AH97+AJ97))</f>
        <v>0</v>
      </c>
      <c r="AM97" s="571"/>
      <c r="AN97" s="540">
        <v>0</v>
      </c>
      <c r="AO97" s="571"/>
      <c r="AP97" s="572">
        <f>IF($F$13="YES",AF97,AN97)</f>
        <v>0</v>
      </c>
      <c r="AQ97" s="534">
        <f>ABS(SUMIF(V97:AP97,"&gt;0")-SUMIF(V97:AP97,"&lt;0"))</f>
        <v>0</v>
      </c>
      <c r="AS97" s="535"/>
    </row>
    <row r="98" spans="1:45" ht="3.95" hidden="1" customHeight="1">
      <c r="B98" s="274" t="s">
        <v>31</v>
      </c>
      <c r="P98" s="283"/>
      <c r="T98" s="562"/>
      <c r="V98" s="562"/>
      <c r="X98" s="562"/>
      <c r="Z98" s="562"/>
      <c r="AB98" s="562"/>
      <c r="AD98" s="562"/>
      <c r="AF98" s="562"/>
      <c r="AH98" s="562"/>
      <c r="AJ98" s="562"/>
      <c r="AL98" s="562"/>
      <c r="AN98" s="562"/>
      <c r="AO98" s="562"/>
      <c r="AP98" s="562"/>
      <c r="AS98" s="563"/>
    </row>
    <row r="99" spans="1:45" hidden="1">
      <c r="B99" s="271" t="str">
        <f>IF(AQ99=0,"Hide","Show")</f>
        <v>Hide</v>
      </c>
      <c r="P99" s="283"/>
      <c r="R99" s="573" t="s">
        <v>448</v>
      </c>
      <c r="S99" s="272"/>
      <c r="T99" s="557">
        <f>SUM(T97:T98)</f>
        <v>0</v>
      </c>
      <c r="U99" s="272"/>
      <c r="V99" s="557">
        <f>SUM(V97:V98)</f>
        <v>0</v>
      </c>
      <c r="W99" s="564"/>
      <c r="X99" s="557">
        <f>SUM(X97:X98)</f>
        <v>0</v>
      </c>
      <c r="Y99" s="564"/>
      <c r="Z99" s="557">
        <f>SUM(Z97:Z98)</f>
        <v>0</v>
      </c>
      <c r="AA99" s="564"/>
      <c r="AB99" s="557">
        <f>SUM(AB97:AB98)</f>
        <v>0</v>
      </c>
      <c r="AC99" s="564"/>
      <c r="AD99" s="557">
        <f>SUM(AD97:AD98)</f>
        <v>0</v>
      </c>
      <c r="AE99" s="551"/>
      <c r="AF99" s="557">
        <f>SUM(AF97:AF98)</f>
        <v>0</v>
      </c>
      <c r="AG99" s="565"/>
      <c r="AH99" s="557">
        <f>SUM(AH97:AH98)</f>
        <v>0</v>
      </c>
      <c r="AI99" s="565"/>
      <c r="AJ99" s="557">
        <f>SUM(AJ97:AJ98)</f>
        <v>0</v>
      </c>
      <c r="AK99" s="565"/>
      <c r="AL99" s="557">
        <f>SUM(AL97:AL98)</f>
        <v>0</v>
      </c>
      <c r="AM99" s="565"/>
      <c r="AN99" s="557">
        <f>SUM(AN97:AN98)</f>
        <v>0</v>
      </c>
      <c r="AO99" s="565"/>
      <c r="AP99" s="557">
        <f>SUM(AP97:AP98)</f>
        <v>0</v>
      </c>
      <c r="AQ99" s="534">
        <f>ABS(SUMIF(V99:AP99,"&gt;0")-SUMIF(V99:AP99,"&lt;0"))</f>
        <v>0</v>
      </c>
      <c r="AS99" s="576"/>
    </row>
    <row r="100" spans="1:45" ht="9.9499999999999993" hidden="1" customHeight="1">
      <c r="B100" s="271" t="str">
        <f>B99</f>
        <v>Hide</v>
      </c>
      <c r="P100" s="283"/>
      <c r="AO100" s="562"/>
      <c r="AS100" s="576"/>
    </row>
    <row r="101" spans="1:45" ht="15" customHeight="1">
      <c r="B101" s="271" t="s">
        <v>62</v>
      </c>
      <c r="N101" s="436" t="str">
        <f>IF(AQ99=0,""," &amp; RESERVES")</f>
        <v/>
      </c>
      <c r="P101" s="283"/>
      <c r="R101" s="545" t="str">
        <f>TRIM(IF(AND($F$22&gt;"399",$F$22&lt;"500"),"TOTAL OPERATING EXPENSES"&amp;N101,"TOTAL EXPENDITURES"&amp;N101))</f>
        <v>TOTAL EXPENDITURES</v>
      </c>
      <c r="S101" s="575"/>
      <c r="T101" s="547">
        <f>SUM(T92+T85+T80+T69+T99)</f>
        <v>0</v>
      </c>
      <c r="U101" s="575"/>
      <c r="V101" s="547">
        <f>SUM(V92+V85+V80+V69+V99)</f>
        <v>0</v>
      </c>
      <c r="W101" s="575"/>
      <c r="X101" s="547">
        <f>SUM(X92+X85+X80+X69+X99)</f>
        <v>0</v>
      </c>
      <c r="Y101" s="575"/>
      <c r="Z101" s="547">
        <f>SUM(Z92+Z85+Z80+Z69+Z99)</f>
        <v>0</v>
      </c>
      <c r="AA101" s="575"/>
      <c r="AB101" s="547">
        <f>SUM(AB92+AB85+AB80+AB69+AB99)</f>
        <v>1229519</v>
      </c>
      <c r="AC101" s="575"/>
      <c r="AD101" s="547">
        <f>SUM(AD92+AD85+AD80+AD69+AD99)</f>
        <v>0</v>
      </c>
      <c r="AE101" s="575"/>
      <c r="AF101" s="547">
        <f>SUM(AF92+AF85+AF80+AF69+AF99)</f>
        <v>0</v>
      </c>
      <c r="AG101" s="575"/>
      <c r="AH101" s="547">
        <f>SUM(AH92+AH85+AH80+AH69+AH99)</f>
        <v>0</v>
      </c>
      <c r="AI101" s="575"/>
      <c r="AJ101" s="547">
        <f>SUM(AJ92+AJ85+AJ80+AJ69+AJ99)</f>
        <v>0</v>
      </c>
      <c r="AK101" s="575"/>
      <c r="AL101" s="547">
        <f>SUM(AL92+AL85+AL80+AL69+AL99)</f>
        <v>0</v>
      </c>
      <c r="AM101" s="575"/>
      <c r="AN101" s="547">
        <f>SUM(AN92+AN85+AN80+AN69+AN99)</f>
        <v>0</v>
      </c>
      <c r="AO101" s="547"/>
      <c r="AP101" s="550">
        <f>SUM(AP92+AP85+AP80+AP69+AP99)</f>
        <v>0</v>
      </c>
      <c r="AQ101" s="534">
        <f>ABS(SUMIF(V101:AP101,"&gt;0")-SUMIF(V101:AP101,"&lt;0"))</f>
        <v>1229519</v>
      </c>
      <c r="AS101" s="576"/>
    </row>
    <row r="102" spans="1:45" ht="9.9499999999999993" customHeight="1">
      <c r="B102" s="271" t="s">
        <v>62</v>
      </c>
      <c r="P102" s="283"/>
      <c r="AO102" s="562"/>
      <c r="AS102" s="576"/>
    </row>
    <row r="103" spans="1:45" ht="15" customHeight="1">
      <c r="B103" s="271" t="str">
        <f>IF(R103="","Hide","Show")</f>
        <v>Show</v>
      </c>
      <c r="P103" s="283"/>
      <c r="R103" s="552" t="str">
        <f>IF(AND($F$22&gt;"399",$F$22&lt;"500"),"","Excess (deficiency) of revenues")</f>
        <v>Excess (deficiency) of revenues</v>
      </c>
      <c r="AO103" s="562"/>
      <c r="AS103" s="576"/>
    </row>
    <row r="104" spans="1:45" ht="15" customHeight="1">
      <c r="B104" s="271" t="s">
        <v>62</v>
      </c>
      <c r="P104" s="283"/>
      <c r="R104" s="576" t="str">
        <f>IF(AND($F$22&gt;"399",$F$22&lt;"500"),"Operating income (loss)","Over (under) expenditures")</f>
        <v>Over (under) expenditures</v>
      </c>
      <c r="T104" s="577">
        <f>SUM(T53-T101-T59)</f>
        <v>0</v>
      </c>
      <c r="V104" s="577">
        <f>SUM(V53-V101-V59)</f>
        <v>0</v>
      </c>
      <c r="W104" s="571"/>
      <c r="X104" s="577">
        <f>SUM(X53-X101-X59)</f>
        <v>0</v>
      </c>
      <c r="Y104" s="571"/>
      <c r="Z104" s="577">
        <f>SUM(Z53-Z101-Z59)</f>
        <v>0</v>
      </c>
      <c r="AA104" s="571"/>
      <c r="AB104" s="577">
        <f>SUM(AB53-AB101-AB59)</f>
        <v>-63223</v>
      </c>
      <c r="AC104" s="571"/>
      <c r="AD104" s="577">
        <f>SUM(AD53-AD101-AD59)</f>
        <v>0</v>
      </c>
      <c r="AE104" s="571"/>
      <c r="AF104" s="577">
        <f>SUM(AF53-AF101-AF59)</f>
        <v>0</v>
      </c>
      <c r="AG104" s="571"/>
      <c r="AH104" s="577">
        <f>SUM(AH53-AH101-AH59)</f>
        <v>0</v>
      </c>
      <c r="AI104" s="571"/>
      <c r="AJ104" s="577">
        <f>SUM(AJ53-AJ101-AJ59)</f>
        <v>0</v>
      </c>
      <c r="AK104" s="571"/>
      <c r="AL104" s="577">
        <f>SUM(AL53-AL101-AL59)</f>
        <v>0</v>
      </c>
      <c r="AM104" s="571"/>
      <c r="AN104" s="577">
        <f>SUM(AN53-AN101-AN59)</f>
        <v>0</v>
      </c>
      <c r="AO104" s="571"/>
      <c r="AP104" s="577">
        <f>SUM(AP53-AP101-AP59)</f>
        <v>0</v>
      </c>
      <c r="AQ104" s="534">
        <f>ABS(SUMIF(V104:AP104,"&gt;0")-SUMIF(V104:AP104,"&lt;0"))</f>
        <v>63223</v>
      </c>
      <c r="AS104" s="576"/>
    </row>
    <row r="105" spans="1:45" ht="9.9499999999999993" customHeight="1">
      <c r="B105" s="271" t="s">
        <v>62</v>
      </c>
      <c r="P105" s="283"/>
      <c r="AO105" s="562"/>
      <c r="AS105" s="576"/>
    </row>
    <row r="106" spans="1:45" hidden="1">
      <c r="B106" s="271" t="s">
        <v>31</v>
      </c>
      <c r="P106" s="283"/>
      <c r="R106" s="436"/>
      <c r="S106" s="436"/>
      <c r="T106" s="436"/>
      <c r="U106" s="436"/>
      <c r="V106" s="436"/>
      <c r="W106" s="436"/>
      <c r="X106" s="436"/>
      <c r="Y106" s="436"/>
      <c r="Z106" s="436"/>
      <c r="AA106" s="436"/>
      <c r="AB106" s="436"/>
      <c r="AC106" s="436"/>
      <c r="AD106" s="436"/>
      <c r="AE106" s="436"/>
      <c r="AF106" s="436"/>
      <c r="AG106" s="436"/>
      <c r="AH106" s="436"/>
      <c r="AI106" s="436"/>
      <c r="AJ106" s="436"/>
      <c r="AK106" s="436"/>
      <c r="AL106" s="436"/>
      <c r="AM106" s="436"/>
      <c r="AN106" s="436"/>
      <c r="AO106" s="562"/>
      <c r="AP106" s="436"/>
      <c r="AS106" s="576"/>
    </row>
    <row r="107" spans="1:45" hidden="1">
      <c r="B107" s="271" t="s">
        <v>31</v>
      </c>
      <c r="E107" s="271"/>
      <c r="F107" s="271"/>
      <c r="H107" s="271"/>
      <c r="P107" s="283"/>
      <c r="R107" s="436"/>
      <c r="S107" s="436"/>
      <c r="T107" s="578">
        <f>IF(AND(VALUE($F$22)&gt;399,VALUE($F$22)&lt;500),0,IF(OR($F$11="NO",T$1="HIDE",T$4="ACTUAL"),0,T104+T114))</f>
        <v>0</v>
      </c>
      <c r="U107" s="436"/>
      <c r="V107" s="578">
        <f>IF(AND(VALUE($F$22)&gt;399,VALUE($F$22)&lt;500),0,IF(OR($F$11="NO",V$1="HIDE",V$4="ACTUAL"),0,V104+V114))</f>
        <v>0</v>
      </c>
      <c r="W107" s="436"/>
      <c r="X107" s="578">
        <f>IF(AND(VALUE($F$22)&gt;399,VALUE($F$22)&lt;500),0,IF(OR($F$11="NO",X$1="HIDE",X$4="ACTUAL"),0,X104+X114))</f>
        <v>0</v>
      </c>
      <c r="Y107" s="436"/>
      <c r="Z107" s="578">
        <f>IF(AND(VALUE($F$22)&gt;399,VALUE($F$22)&lt;500),0,IF(OR($F$11="NO",Z$1="HIDE",Z$4="ACTUAL"),0,Z104+Z114))</f>
        <v>0</v>
      </c>
      <c r="AA107" s="436"/>
      <c r="AB107" s="578">
        <f>IF(AND(VALUE($F$22)&gt;399,VALUE($F$22)&lt;500),0,IF(OR($F$11="NO",AB$1="HIDE",AB$4="ACTUAL"),0,AB104+AB114))</f>
        <v>0</v>
      </c>
      <c r="AC107" s="436"/>
      <c r="AD107" s="578">
        <f>IF(AND(VALUE($F$22)&gt;399,VALUE($F$22)&lt;500),0,IF(OR($F$11="NO",AD$1="HIDE",AD$4="ACTUAL"),0,AD104+AD114))</f>
        <v>0</v>
      </c>
      <c r="AE107" s="436"/>
      <c r="AF107" s="578">
        <f>IF(AND(VALUE($F$22)&gt;399,VALUE($F$22)&lt;500),0,IF(OR($F$11="NO",AF$1="HIDE",AF$4="ACTUAL"),0,AF104+AF114))</f>
        <v>0</v>
      </c>
      <c r="AG107" s="436"/>
      <c r="AH107" s="578">
        <f>IF(AND(VALUE($F$22)&gt;399,VALUE($F$22)&lt;500),0,IF(OR($F$11="NO",AH$1="HIDE",AH$4="ACTUAL"),0,AH104+AH114))</f>
        <v>0</v>
      </c>
      <c r="AI107" s="436"/>
      <c r="AJ107" s="578">
        <v>0</v>
      </c>
      <c r="AK107" s="436"/>
      <c r="AL107" s="579">
        <v>0</v>
      </c>
      <c r="AM107" s="579"/>
      <c r="AN107" s="579">
        <f>IF(AND(VALUE($F$22)&gt;399,VALUE($F$22)&lt;500),0,IF(OR($F$11="NO",AN$1="HIDE",AN$4="ACTUAL"),0,AN104+AN114))</f>
        <v>0</v>
      </c>
      <c r="AO107" s="536"/>
      <c r="AP107" s="579">
        <f>IF(AND(VALUE($F$22)&gt;399,VALUE($F$22)&lt;500),0,IF(OR($F$11="NO",AP$1="HIDE",AP$4="ACTUAL"),0,AP104+AP114))</f>
        <v>0</v>
      </c>
      <c r="AS107" s="576"/>
    </row>
    <row r="108" spans="1:45" ht="15" customHeight="1">
      <c r="B108" s="271" t="str">
        <f>IF(OR($F$11="Yes",$AQ115&lt;&gt;0),"Show",IF($AQ115=0,"Hide","Show"))</f>
        <v>Show</v>
      </c>
      <c r="E108" s="300" t="s">
        <v>451</v>
      </c>
      <c r="F108" s="300"/>
      <c r="G108" s="300"/>
      <c r="H108" s="300"/>
      <c r="I108" s="277"/>
      <c r="P108" s="283"/>
      <c r="R108" s="580" t="s">
        <v>452</v>
      </c>
      <c r="AO108" s="562"/>
      <c r="AS108" s="576"/>
    </row>
    <row r="109" spans="1:45" ht="0.95" customHeight="1">
      <c r="B109" s="274" t="str">
        <f>B108</f>
        <v>Show</v>
      </c>
      <c r="P109" s="283"/>
      <c r="AO109" s="562"/>
      <c r="AS109" s="576"/>
    </row>
    <row r="110" spans="1:45" ht="15.6" customHeight="1">
      <c r="A110" s="271" t="s">
        <v>236</v>
      </c>
      <c r="B110" s="271" t="str">
        <f t="shared" ref="B110:B112" si="24">IF(AQ110=0,"Hide","Show")</f>
        <v>Show</v>
      </c>
      <c r="K110" s="337" t="s">
        <v>453</v>
      </c>
      <c r="L110" s="275" t="str">
        <f t="shared" ref="L110:L112" si="25">$F$22</f>
        <v>202</v>
      </c>
      <c r="M110" s="275" t="str">
        <f t="shared" ref="M110:M112" si="26">$J$7</f>
        <v>10/1/2016..9/30/2017</v>
      </c>
      <c r="N110" s="271" t="str">
        <f t="shared" ref="N110:N112" si="27">$D$6</f>
        <v>HARMONY CDD</v>
      </c>
      <c r="O110" s="387" t="str">
        <f t="shared" ref="O110:O112" si="28">IF(K110="","399998",K110)</f>
        <v>381000</v>
      </c>
      <c r="P110" s="283" t="str">
        <f t="shared" ref="P110:P112" si="29">K110</f>
        <v>381000</v>
      </c>
      <c r="R110" s="552" t="s">
        <v>454</v>
      </c>
      <c r="T110" s="538">
        <v>0</v>
      </c>
      <c r="V110" s="538">
        <v>0</v>
      </c>
      <c r="W110" s="538"/>
      <c r="X110" s="538">
        <v>0</v>
      </c>
      <c r="Y110" s="538"/>
      <c r="Z110" s="538">
        <v>0</v>
      </c>
      <c r="AA110" s="538"/>
      <c r="AB110" s="538">
        <v>56011</v>
      </c>
      <c r="AC110" s="538"/>
      <c r="AD110" s="538">
        <v>0</v>
      </c>
      <c r="AE110" s="538"/>
      <c r="AF110" s="538">
        <v>0</v>
      </c>
      <c r="AG110" s="538"/>
      <c r="AH110" s="538">
        <v>0</v>
      </c>
      <c r="AI110" s="538"/>
      <c r="AJ110" s="581">
        <v>0</v>
      </c>
      <c r="AK110" s="538"/>
      <c r="AL110" s="538">
        <f t="shared" ref="AL110:AL112" si="30">IF(ISERROR(AH110+AJ110),0,(AH110+AJ110))</f>
        <v>0</v>
      </c>
      <c r="AM110" s="538"/>
      <c r="AN110" s="538">
        <v>0</v>
      </c>
      <c r="AO110" s="582"/>
      <c r="AP110" s="581">
        <f t="shared" ref="AP110:AP112" si="31">IF($F$13="YES",AF110,AN110)</f>
        <v>0</v>
      </c>
      <c r="AQ110" s="534">
        <f t="shared" ref="AQ110:AQ112" si="32">ABS(SUMIF(V110:AP110,"&gt;0")-SUMIF(V110:AP110,"&lt;0"))</f>
        <v>56011</v>
      </c>
      <c r="AS110" s="583"/>
    </row>
    <row r="111" spans="1:45" ht="15.6" customHeight="1">
      <c r="A111" s="271" t="s">
        <v>311</v>
      </c>
      <c r="B111" s="271" t="str">
        <f t="shared" si="24"/>
        <v>Show</v>
      </c>
      <c r="K111" s="337" t="str">
        <f>"591000"</f>
        <v>591000</v>
      </c>
      <c r="L111" s="275" t="str">
        <f t="shared" si="25"/>
        <v>202</v>
      </c>
      <c r="M111" s="275" t="str">
        <f t="shared" si="26"/>
        <v>10/1/2016..9/30/2017</v>
      </c>
      <c r="N111" s="271" t="str">
        <f t="shared" si="27"/>
        <v>HARMONY CDD</v>
      </c>
      <c r="O111" s="387" t="str">
        <f t="shared" si="28"/>
        <v>591000</v>
      </c>
      <c r="P111" s="283" t="str">
        <f t="shared" si="29"/>
        <v>591000</v>
      </c>
      <c r="R111" s="552" t="s">
        <v>456</v>
      </c>
      <c r="T111" s="538">
        <v>0</v>
      </c>
      <c r="V111" s="538">
        <v>0</v>
      </c>
      <c r="W111" s="538"/>
      <c r="X111" s="538">
        <v>0</v>
      </c>
      <c r="Y111" s="538"/>
      <c r="Z111" s="538">
        <v>0</v>
      </c>
      <c r="AA111" s="538"/>
      <c r="AB111" s="538">
        <v>-14807</v>
      </c>
      <c r="AC111" s="538"/>
      <c r="AD111" s="538">
        <v>0</v>
      </c>
      <c r="AE111" s="538"/>
      <c r="AF111" s="538">
        <v>0</v>
      </c>
      <c r="AG111" s="538"/>
      <c r="AH111" s="538">
        <v>0</v>
      </c>
      <c r="AI111" s="538"/>
      <c r="AJ111" s="581">
        <v>0</v>
      </c>
      <c r="AK111" s="538"/>
      <c r="AL111" s="538">
        <f t="shared" si="30"/>
        <v>0</v>
      </c>
      <c r="AM111" s="538"/>
      <c r="AN111" s="538">
        <v>0</v>
      </c>
      <c r="AO111" s="582"/>
      <c r="AP111" s="581">
        <f t="shared" si="31"/>
        <v>0</v>
      </c>
      <c r="AQ111" s="534">
        <f t="shared" si="32"/>
        <v>14807</v>
      </c>
      <c r="AS111" s="583"/>
    </row>
    <row r="112" spans="1:45" ht="15.6" customHeight="1">
      <c r="A112" s="271" t="s">
        <v>311</v>
      </c>
      <c r="B112" s="271" t="str">
        <f t="shared" si="24"/>
        <v>Show</v>
      </c>
      <c r="K112" s="337" t="str">
        <f>"591100"</f>
        <v>591100</v>
      </c>
      <c r="L112" s="275" t="str">
        <f t="shared" si="25"/>
        <v>202</v>
      </c>
      <c r="M112" s="275" t="str">
        <f t="shared" si="26"/>
        <v>10/1/2016..9/30/2017</v>
      </c>
      <c r="N112" s="271" t="str">
        <f t="shared" si="27"/>
        <v>HARMONY CDD</v>
      </c>
      <c r="O112" s="387" t="str">
        <f t="shared" si="28"/>
        <v>591100</v>
      </c>
      <c r="P112" s="283" t="str">
        <f t="shared" si="29"/>
        <v>591100</v>
      </c>
      <c r="R112" s="552" t="s">
        <v>490</v>
      </c>
      <c r="T112" s="538">
        <v>0</v>
      </c>
      <c r="V112" s="538">
        <v>0</v>
      </c>
      <c r="W112" s="538"/>
      <c r="X112" s="538">
        <v>0</v>
      </c>
      <c r="Y112" s="538"/>
      <c r="Z112" s="538">
        <v>0</v>
      </c>
      <c r="AA112" s="538"/>
      <c r="AB112" s="538">
        <v>-861168</v>
      </c>
      <c r="AC112" s="538"/>
      <c r="AD112" s="538">
        <v>0</v>
      </c>
      <c r="AE112" s="538"/>
      <c r="AF112" s="538">
        <v>0</v>
      </c>
      <c r="AG112" s="538"/>
      <c r="AH112" s="538">
        <v>0</v>
      </c>
      <c r="AI112" s="538"/>
      <c r="AJ112" s="581">
        <v>0</v>
      </c>
      <c r="AK112" s="538"/>
      <c r="AL112" s="538">
        <f t="shared" si="30"/>
        <v>0</v>
      </c>
      <c r="AM112" s="538"/>
      <c r="AN112" s="538">
        <v>0</v>
      </c>
      <c r="AO112" s="582"/>
      <c r="AP112" s="581">
        <f t="shared" si="31"/>
        <v>0</v>
      </c>
      <c r="AQ112" s="534">
        <f t="shared" si="32"/>
        <v>861168</v>
      </c>
      <c r="AS112" s="583"/>
    </row>
    <row r="113" spans="1:45" ht="7.5" hidden="1" customHeight="1">
      <c r="B113" s="271" t="s">
        <v>31</v>
      </c>
      <c r="P113" s="283"/>
      <c r="R113" s="552"/>
      <c r="T113" s="538"/>
      <c r="V113" s="538"/>
      <c r="W113" s="538"/>
      <c r="X113" s="538"/>
      <c r="Y113" s="538"/>
      <c r="Z113" s="538"/>
      <c r="AA113" s="538"/>
      <c r="AB113" s="538"/>
      <c r="AC113" s="538"/>
      <c r="AD113" s="538"/>
      <c r="AE113" s="538"/>
      <c r="AF113" s="538"/>
      <c r="AG113" s="538"/>
      <c r="AH113" s="538"/>
      <c r="AI113" s="538"/>
      <c r="AJ113" s="538"/>
      <c r="AK113" s="538"/>
      <c r="AL113" s="538"/>
      <c r="AM113" s="538"/>
      <c r="AN113" s="538"/>
      <c r="AO113" s="582"/>
      <c r="AP113" s="538"/>
      <c r="AQ113" s="534"/>
      <c r="AS113" s="576"/>
    </row>
    <row r="114" spans="1:45" ht="15" hidden="1" customHeight="1">
      <c r="B114" s="271" t="s">
        <v>31</v>
      </c>
      <c r="P114" s="283"/>
      <c r="R114" s="436"/>
      <c r="S114" s="436"/>
      <c r="T114" s="578">
        <f>SUM(T109:T113)</f>
        <v>0</v>
      </c>
      <c r="U114" s="436"/>
      <c r="V114" s="578">
        <f>SUM(V109:V113)</f>
        <v>0</v>
      </c>
      <c r="W114" s="436"/>
      <c r="X114" s="578">
        <f>SUM(X109:X113)</f>
        <v>0</v>
      </c>
      <c r="Y114" s="436"/>
      <c r="Z114" s="578">
        <f>SUM(Z109:Z113)</f>
        <v>0</v>
      </c>
      <c r="AA114" s="436"/>
      <c r="AB114" s="578">
        <f>SUM(AB109:AB113)</f>
        <v>-819964</v>
      </c>
      <c r="AC114" s="436"/>
      <c r="AD114" s="578">
        <f>SUM(AD109:AD113)</f>
        <v>0</v>
      </c>
      <c r="AE114" s="436"/>
      <c r="AF114" s="578">
        <f>SUM(AF109:AF113)</f>
        <v>0</v>
      </c>
      <c r="AG114" s="436"/>
      <c r="AH114" s="578">
        <f>SUM(AH109:AH113)</f>
        <v>0</v>
      </c>
      <c r="AI114" s="436"/>
      <c r="AJ114" s="578">
        <f>SUM(AJ109:AJ113)</f>
        <v>0</v>
      </c>
      <c r="AK114" s="436"/>
      <c r="AL114" s="578">
        <f>SUM(AL109:AL113)</f>
        <v>0</v>
      </c>
      <c r="AM114" s="436"/>
      <c r="AN114" s="578">
        <f>SUM(AN109:AN113)</f>
        <v>0</v>
      </c>
      <c r="AO114" s="2"/>
      <c r="AP114" s="578">
        <f>SUM(AP109:AP113)</f>
        <v>0</v>
      </c>
      <c r="AQ114" s="534">
        <f t="shared" ref="AQ114:AQ115" si="33">ABS(SUMIF(V114:AP114,"&gt;0")-SUMIF(V114:AP114,"&lt;0"))</f>
        <v>819964</v>
      </c>
      <c r="AS114" s="563"/>
    </row>
    <row r="115" spans="1:45" ht="15.6" customHeight="1">
      <c r="A115" s="271" t="s">
        <v>236</v>
      </c>
      <c r="B115" s="271" t="str">
        <f>IF(OR($F$11="Yes",$AQ115&lt;&gt;0),"Show",IF($AQ115=0,"Hide","Show"))</f>
        <v>Show</v>
      </c>
      <c r="K115" s="337">
        <v>590550</v>
      </c>
      <c r="L115" s="275" t="str">
        <f>$F$22</f>
        <v>202</v>
      </c>
      <c r="M115" s="275" t="str">
        <f>$J$7</f>
        <v>10/1/2016..9/30/2017</v>
      </c>
      <c r="N115" s="271" t="str">
        <f>$D$6</f>
        <v>HARMONY CDD</v>
      </c>
      <c r="O115" s="280">
        <f>K115</f>
        <v>590550</v>
      </c>
      <c r="P115" s="283">
        <v>599999</v>
      </c>
      <c r="R115" s="584" t="s">
        <v>457</v>
      </c>
      <c r="T115" s="571">
        <f>IF(OR(T$4="ACTUAL",T$1="hide"),0,T$107)</f>
        <v>0</v>
      </c>
      <c r="V115" s="571">
        <f>IF(OR(V$4="ACTUAL",V$1="hide"),0,V$107)</f>
        <v>0</v>
      </c>
      <c r="X115" s="571">
        <f>IF(OR(X$4="ACTUAL",X$1="hide"),0,X$107)</f>
        <v>0</v>
      </c>
      <c r="Z115" s="571">
        <f>IF(OR(Z$4="ACTUAL",Z$1="hide"),0,Z$107)</f>
        <v>0</v>
      </c>
      <c r="AB115" s="571">
        <f>IF(OR(AB$4="ACTUAL",AB$1="hide"),0,AB$107)</f>
        <v>0</v>
      </c>
      <c r="AD115" s="571">
        <f>IF(OR(AD$4="ACTUAL",AD$1="hide"),0,AD$107)</f>
        <v>0</v>
      </c>
      <c r="AF115" s="571">
        <f>IF(OR(AF$4="ACTUAL",AF$1="hide"),0,AF$107)</f>
        <v>0</v>
      </c>
      <c r="AH115" s="571">
        <f>IF(OR(AH$4="ACTUAL",AH$1="hide"),0,AH$107)</f>
        <v>0</v>
      </c>
      <c r="AJ115" s="572">
        <f>IF(OR(AJ$4="ACTUAL",AJ$1="hide"),0,AJ$107)</f>
        <v>0</v>
      </c>
      <c r="AL115" s="571">
        <f>IF(ISERROR(AH115+AJ115),0,(AH115+AJ115))</f>
        <v>0</v>
      </c>
      <c r="AN115" s="571">
        <f>IF(OR(AN$4="ACTUAL",AN$1="hide"),0,AN$107)</f>
        <v>0</v>
      </c>
      <c r="AO115" s="571"/>
      <c r="AP115" s="572">
        <f>IF(OR(AP$4="ACTUAL",AP$1="hide"),0,AP$107)</f>
        <v>0</v>
      </c>
      <c r="AQ115" s="534">
        <f t="shared" si="33"/>
        <v>0</v>
      </c>
      <c r="AS115" s="585"/>
    </row>
    <row r="116" spans="1:45" ht="3.95" customHeight="1">
      <c r="B116" s="274" t="str">
        <f>B117</f>
        <v>Show</v>
      </c>
      <c r="P116" s="283"/>
      <c r="AO116" s="562"/>
      <c r="AS116" s="563"/>
    </row>
    <row r="117" spans="1:45" ht="15" customHeight="1">
      <c r="B117" s="271" t="str">
        <f>IF(OR($F$11="Yes",$AQ117&lt;&gt;0),"Show",IF($AQ117=0,"Hide","Show"))</f>
        <v>Show</v>
      </c>
      <c r="P117" s="283"/>
      <c r="R117" s="586" t="s">
        <v>458</v>
      </c>
      <c r="S117" s="575"/>
      <c r="T117" s="547">
        <f>SUM(T114:T115)</f>
        <v>0</v>
      </c>
      <c r="U117" s="575"/>
      <c r="V117" s="547">
        <f>SUM(V114:V115)</f>
        <v>0</v>
      </c>
      <c r="W117" s="575"/>
      <c r="X117" s="547">
        <f>SUM(X114:X115)</f>
        <v>0</v>
      </c>
      <c r="Y117" s="575"/>
      <c r="Z117" s="547">
        <f>SUM(Z114:Z115)</f>
        <v>0</v>
      </c>
      <c r="AA117" s="575"/>
      <c r="AB117" s="547">
        <f>SUM(AB114:AB115)</f>
        <v>-819964</v>
      </c>
      <c r="AC117" s="575"/>
      <c r="AD117" s="547">
        <f>SUM(AD114:AD115)</f>
        <v>0</v>
      </c>
      <c r="AE117" s="575"/>
      <c r="AF117" s="547">
        <f>SUM(AF114:AF115)</f>
        <v>0</v>
      </c>
      <c r="AG117" s="575"/>
      <c r="AH117" s="547">
        <f>SUM(AH114:AH115)</f>
        <v>0</v>
      </c>
      <c r="AI117" s="575"/>
      <c r="AJ117" s="547">
        <f>SUM(AJ114:AJ115)</f>
        <v>0</v>
      </c>
      <c r="AK117" s="575"/>
      <c r="AL117" s="547">
        <f>SUM(AL114:AL115)</f>
        <v>0</v>
      </c>
      <c r="AM117" s="575"/>
      <c r="AN117" s="547">
        <f>SUM(AN114:AN115)</f>
        <v>0</v>
      </c>
      <c r="AO117" s="547"/>
      <c r="AP117" s="550">
        <f>SUM(AP114:AP115)</f>
        <v>0</v>
      </c>
      <c r="AQ117" s="534">
        <f>ABS(SUMIF(V117:AP117,"&gt;0")-SUMIF(V117:AP117,"&lt;0"))</f>
        <v>819964</v>
      </c>
      <c r="AS117" s="576"/>
    </row>
    <row r="118" spans="1:45" ht="9.9499999999999993" customHeight="1">
      <c r="B118" s="271" t="str">
        <f>B117</f>
        <v>Show</v>
      </c>
      <c r="P118" s="283"/>
      <c r="AO118" s="562"/>
      <c r="AS118" s="576"/>
    </row>
    <row r="119" spans="1:45" ht="15" customHeight="1">
      <c r="B119" s="271" t="s">
        <v>62</v>
      </c>
      <c r="P119" s="283"/>
      <c r="R119" s="272" t="str">
        <f>IF(AND($F$22&gt;"399",$F$22&lt;"500"),"Change in net assets","Net change in fund balance")</f>
        <v>Net change in fund balance</v>
      </c>
      <c r="T119" s="577">
        <f>IF(T$4="ACTUAL",SUM(T117+T104),SUM(T117+T104+(IF(ABS(T107)&lt;0.49,0,-T107))))</f>
        <v>0</v>
      </c>
      <c r="V119" s="577">
        <f>IF(V$4="ACTUAL",SUM(V117+V104),SUM(V117+V104+(IF(ABS(V107)&lt;0.49,0,-V107))))</f>
        <v>0</v>
      </c>
      <c r="X119" s="577">
        <f>IF(X$4="ACTUAL",SUM(X117+X104),SUM(X117+X104+(IF(ABS(X107)&lt;0.49,0,-X107))))</f>
        <v>0</v>
      </c>
      <c r="Z119" s="577">
        <f>IF(Z$4="ACTUAL",SUM(Z117+Z104),SUM(Z117+Z104+(IF(ABS(Z107)&lt;0.49,0,-Z107))))</f>
        <v>0</v>
      </c>
      <c r="AB119" s="577">
        <f>IF(AB$4="ACTUAL",SUM(AB117+AB104),SUM(AB117+AB104+(IF(ABS(AB107)&lt;0.49,0,-AB107))))</f>
        <v>-883187</v>
      </c>
      <c r="AD119" s="577">
        <f>IF(AD$4="ACTUAL",SUM(AD117+AD104),SUM(AD117+AD104+(IF(ABS(AD107)&lt;0.49,0,-AD107))))</f>
        <v>0</v>
      </c>
      <c r="AF119" s="577">
        <f>IF(AF$4="ACTUAL",SUM(AF117+AF104),SUM(AF117+AF104+(IF(ABS(AF107)&lt;0.49,0,-AF107))))</f>
        <v>0</v>
      </c>
      <c r="AH119" s="577">
        <f>IF(AH$4="ACTUAL",SUM(AH117+AH104),SUM(AH117+AH104+(IF(ABS(AH107)&lt;0.49,0,-AH107))))</f>
        <v>0</v>
      </c>
      <c r="AJ119" s="577">
        <f>IF(AJ$4="ACTUAL",SUM(AJ117+AJ104),SUM(AJ117+AJ104+(IF(ABS(AJ107)&lt;0.49,0,-AJ107))))</f>
        <v>0</v>
      </c>
      <c r="AL119" s="577">
        <f>IF(AL$4="ACTUAL",SUM(AL117+AL104),SUM(AL117+AL104+(IF(ABS(AL107)&lt;0.49,0,-AL107))))</f>
        <v>0</v>
      </c>
      <c r="AN119" s="577">
        <f>IF(AN$4="ACTUAL",SUM(AN117+AN104),SUM(AN117+AN104+(IF(ABS(AN107)&lt;0.49,0,-AN107))))</f>
        <v>0</v>
      </c>
      <c r="AO119" s="571"/>
      <c r="AP119" s="577">
        <f>IF(AP$4="ACTUAL",SUM(AP117+AP104),SUM(AP117+AP104+(IF(ABS(AP107)&lt;0.49,0,-AP107))))</f>
        <v>0</v>
      </c>
      <c r="AQ119" s="534">
        <f>ABS(SUMIF(V119:AP119,"&gt;0")-SUMIF(V119:AP119,"&lt;0"))</f>
        <v>883187</v>
      </c>
      <c r="AS119" s="576"/>
    </row>
    <row r="120" spans="1:45" ht="9.9499999999999993" customHeight="1">
      <c r="B120" s="271" t="s">
        <v>62</v>
      </c>
      <c r="P120" s="283"/>
      <c r="AO120" s="562"/>
      <c r="AS120" s="576"/>
    </row>
    <row r="121" spans="1:45" ht="15" hidden="1" customHeight="1">
      <c r="B121" s="271" t="s">
        <v>31</v>
      </c>
      <c r="O121" s="466" t="s">
        <v>459</v>
      </c>
      <c r="P121" s="467">
        <v>391000</v>
      </c>
      <c r="R121" s="587" t="s">
        <v>460</v>
      </c>
      <c r="T121" s="538">
        <v>0</v>
      </c>
      <c r="V121" s="538">
        <v>0</v>
      </c>
      <c r="W121" s="538"/>
      <c r="X121" s="538">
        <v>0</v>
      </c>
      <c r="Y121" s="538"/>
      <c r="Z121" s="538">
        <v>0</v>
      </c>
      <c r="AA121" s="538"/>
      <c r="AB121" s="538">
        <v>0</v>
      </c>
      <c r="AC121" s="538"/>
      <c r="AD121" s="538">
        <v>0</v>
      </c>
      <c r="AE121" s="538"/>
      <c r="AF121" s="538">
        <v>0</v>
      </c>
      <c r="AG121" s="538"/>
      <c r="AH121" s="538">
        <v>0</v>
      </c>
      <c r="AI121" s="538"/>
      <c r="AJ121" s="538">
        <v>0</v>
      </c>
      <c r="AK121" s="538"/>
      <c r="AL121" s="538">
        <f>AH121+AJ121</f>
        <v>0</v>
      </c>
      <c r="AM121" s="538"/>
      <c r="AN121" s="538">
        <v>0</v>
      </c>
      <c r="AO121" s="582"/>
      <c r="AP121" s="538">
        <v>0</v>
      </c>
      <c r="AQ121" s="534">
        <f t="shared" ref="AQ121:AQ124" si="34">ABS(SUMIF(V121:AP121,"&gt;0")-SUMIF(V121:AP121,"&lt;0"))</f>
        <v>0</v>
      </c>
      <c r="AS121" s="576"/>
    </row>
    <row r="122" spans="1:45" ht="15" hidden="1" customHeight="1">
      <c r="B122" s="271" t="s">
        <v>31</v>
      </c>
      <c r="O122" s="297"/>
      <c r="P122" s="467"/>
      <c r="R122" s="588" t="s">
        <v>461</v>
      </c>
      <c r="S122" s="436"/>
      <c r="T122" s="589">
        <v>0</v>
      </c>
      <c r="U122" s="436"/>
      <c r="V122" s="589">
        <v>0</v>
      </c>
      <c r="W122" s="590"/>
      <c r="X122" s="589">
        <v>0</v>
      </c>
      <c r="Y122" s="590"/>
      <c r="Z122" s="589">
        <v>0</v>
      </c>
      <c r="AA122" s="590"/>
      <c r="AB122" s="589">
        <v>0</v>
      </c>
      <c r="AC122" s="436"/>
      <c r="AD122" s="588"/>
      <c r="AE122" s="436"/>
      <c r="AF122" s="591">
        <f>AH122</f>
        <v>0</v>
      </c>
      <c r="AG122" s="436"/>
      <c r="AH122" s="591">
        <f>$Z$155</f>
        <v>0</v>
      </c>
      <c r="AI122" s="436"/>
      <c r="AJ122" s="589">
        <v>0</v>
      </c>
      <c r="AK122" s="436"/>
      <c r="AL122" s="588"/>
      <c r="AM122" s="436"/>
      <c r="AN122" s="589">
        <v>0</v>
      </c>
      <c r="AO122" s="553"/>
      <c r="AP122" s="589">
        <v>0</v>
      </c>
      <c r="AQ122" s="534">
        <f t="shared" si="34"/>
        <v>0</v>
      </c>
      <c r="AS122" s="576"/>
    </row>
    <row r="123" spans="1:45" ht="15" hidden="1" customHeight="1">
      <c r="B123" s="271" t="s">
        <v>31</v>
      </c>
      <c r="O123" s="297"/>
      <c r="P123" s="467"/>
      <c r="R123" s="592" t="s">
        <v>462</v>
      </c>
      <c r="S123" s="578"/>
      <c r="T123" s="578">
        <f>ABS(T53)+ABS(T101)+ABS(T117)</f>
        <v>0</v>
      </c>
      <c r="U123" s="578"/>
      <c r="V123" s="578">
        <f>ABS(V53)+ABS(V101)+ABS(V117)</f>
        <v>0</v>
      </c>
      <c r="W123" s="578"/>
      <c r="X123" s="578">
        <f>ABS(X53)+ABS(X101)+ABS(X117)</f>
        <v>0</v>
      </c>
      <c r="Y123" s="578"/>
      <c r="Z123" s="578">
        <f>ABS(Z53)+ABS(Z101)+ABS(Z117)</f>
        <v>0</v>
      </c>
      <c r="AA123" s="578"/>
      <c r="AB123" s="578">
        <f>ABS(AB53)+ABS(AB101)+ABS(AB117)</f>
        <v>3215779</v>
      </c>
      <c r="AC123" s="578"/>
      <c r="AD123" s="578">
        <f>ABS(AD53)+ABS(AD101)+ABS(AD117)</f>
        <v>0</v>
      </c>
      <c r="AE123" s="578"/>
      <c r="AF123" s="578">
        <f>ABS(AF53)+ABS(AF101)+ABS(AF117)</f>
        <v>0</v>
      </c>
      <c r="AG123" s="578"/>
      <c r="AH123" s="578">
        <f>ABS(AH53)+ABS(AH101)+ABS(AH117)</f>
        <v>0</v>
      </c>
      <c r="AI123" s="578"/>
      <c r="AJ123" s="578">
        <v>0</v>
      </c>
      <c r="AK123" s="578"/>
      <c r="AL123" s="578">
        <f t="shared" ref="AL123:AL124" si="35">AH123+AJ123</f>
        <v>0</v>
      </c>
      <c r="AM123" s="578"/>
      <c r="AN123" s="578">
        <v>0</v>
      </c>
      <c r="AO123" s="2"/>
      <c r="AP123" s="578">
        <v>0</v>
      </c>
      <c r="AQ123" s="534">
        <f t="shared" si="34"/>
        <v>3215779</v>
      </c>
      <c r="AS123" s="576"/>
    </row>
    <row r="124" spans="1:45" ht="15" customHeight="1">
      <c r="B124" s="271" t="s">
        <v>62</v>
      </c>
      <c r="O124" s="466" t="s">
        <v>459</v>
      </c>
      <c r="P124" s="467">
        <v>391000</v>
      </c>
      <c r="R124" s="314" t="str">
        <f>IF(AND($F$22&gt;"399",$F$22&lt;"500"),"TOTAL NET ASSETS, BEGINNING","FUND BALANCE, BEGINNING")</f>
        <v>FUND BALANCE, BEGINNING</v>
      </c>
      <c r="T124" s="538">
        <v>0</v>
      </c>
      <c r="V124" s="538">
        <f>IF(V$1="Show",V126-V121-V119,0)</f>
        <v>0</v>
      </c>
      <c r="W124" s="538"/>
      <c r="X124" s="538">
        <f>IF(X$1="Show",X126-X121-X119,0)</f>
        <v>0</v>
      </c>
      <c r="Y124" s="538"/>
      <c r="Z124" s="538">
        <f>IF(Z$1="Show",Z126-Z121-Z119,0)</f>
        <v>0</v>
      </c>
      <c r="AA124" s="538"/>
      <c r="AB124" s="538">
        <f>IF(AB$1="Show",AB126-AB121-AB119,0)</f>
        <v>883187</v>
      </c>
      <c r="AC124" s="538"/>
      <c r="AD124" s="538">
        <v>0</v>
      </c>
      <c r="AE124" s="538"/>
      <c r="AF124" s="538">
        <f>IF(OR($O124="",AF$1="HIDE"),0,IF(AND(AF$4="BUDGET",AF$123=0),0,AH124))</f>
        <v>0</v>
      </c>
      <c r="AG124" s="538"/>
      <c r="AH124" s="538">
        <v>0</v>
      </c>
      <c r="AI124" s="538"/>
      <c r="AJ124" s="538">
        <v>0</v>
      </c>
      <c r="AK124" s="538"/>
      <c r="AL124" s="538">
        <f t="shared" si="35"/>
        <v>0</v>
      </c>
      <c r="AM124" s="538"/>
      <c r="AN124" s="538">
        <v>0</v>
      </c>
      <c r="AO124" s="582"/>
      <c r="AP124" s="538">
        <f>AL126</f>
        <v>0</v>
      </c>
      <c r="AQ124" s="534">
        <f t="shared" si="34"/>
        <v>883187</v>
      </c>
      <c r="AS124" s="576"/>
    </row>
    <row r="125" spans="1:45" ht="9.9499999999999993" customHeight="1">
      <c r="B125" s="271" t="s">
        <v>62</v>
      </c>
      <c r="P125" s="283"/>
      <c r="AO125" s="562"/>
      <c r="AS125" s="576"/>
    </row>
    <row r="126" spans="1:45" ht="15" customHeight="1">
      <c r="B126" s="271" t="s">
        <v>62</v>
      </c>
      <c r="P126" s="283"/>
      <c r="R126" s="593" t="str">
        <f>IF(AND($F$22&gt;"399",$F$22&lt;"500"),"TOTAL NET ASSETS, ENDING","FUND BALANCE, ENDING")</f>
        <v>FUND BALANCE, ENDING</v>
      </c>
      <c r="T126" s="594">
        <f>SUM(T119+T124)</f>
        <v>0</v>
      </c>
      <c r="U126" s="314"/>
      <c r="V126" s="594">
        <f>IF(V$1="Hide",0,X124)</f>
        <v>0</v>
      </c>
      <c r="W126" s="314"/>
      <c r="X126" s="594">
        <f>IF(X$1="Hide",0,Z124)</f>
        <v>0</v>
      </c>
      <c r="Y126" s="314"/>
      <c r="Z126" s="594">
        <f>IF(Z$1="Hide",0,AB124)</f>
        <v>0</v>
      </c>
      <c r="AA126" s="314"/>
      <c r="AB126" s="594">
        <f>IF(AB$1="Hide",0,AF124)</f>
        <v>0</v>
      </c>
      <c r="AC126" s="314"/>
      <c r="AD126" s="594">
        <f>SUM(AD119+AD124)</f>
        <v>0</v>
      </c>
      <c r="AE126" s="314"/>
      <c r="AF126" s="594">
        <f>SUM(AF119+AF124)</f>
        <v>0</v>
      </c>
      <c r="AG126" s="314"/>
      <c r="AH126" s="594">
        <f>SUM(AH119+AH124)</f>
        <v>0</v>
      </c>
      <c r="AI126" s="314"/>
      <c r="AJ126" s="594">
        <f>SUM(AJ119+AJ124)</f>
        <v>0</v>
      </c>
      <c r="AK126" s="314"/>
      <c r="AL126" s="594">
        <f>SUM(AL119+AL124)</f>
        <v>0</v>
      </c>
      <c r="AM126" s="314"/>
      <c r="AN126" s="594">
        <f>SUM(AN119+AN124)</f>
        <v>0</v>
      </c>
      <c r="AO126" s="595"/>
      <c r="AP126" s="594">
        <f>SUM(AP119+AP124)</f>
        <v>0</v>
      </c>
      <c r="AQ126" s="534">
        <f>ABS(SUMIF(V126:AP126,"&gt;0")-SUMIF(V126:AP126,"&lt;0"))</f>
        <v>0</v>
      </c>
      <c r="AS126" s="576"/>
    </row>
    <row r="127" spans="1:45" ht="15" hidden="1" customHeight="1">
      <c r="B127" s="271" t="str">
        <f t="shared" ref="B127:B138" si="36">B128</f>
        <v>Hide</v>
      </c>
      <c r="P127" s="283"/>
      <c r="AO127" s="562"/>
      <c r="AS127" s="576"/>
    </row>
    <row r="128" spans="1:45" ht="15" hidden="1" customHeight="1">
      <c r="B128" s="271" t="str">
        <f t="shared" si="36"/>
        <v>Hide</v>
      </c>
      <c r="P128" s="283"/>
      <c r="AO128" s="562"/>
      <c r="AQ128" s="534">
        <f>SUM(AQ34:AQ126)</f>
        <v>13638439</v>
      </c>
      <c r="AS128" s="576"/>
    </row>
    <row r="129" spans="1:45" hidden="1">
      <c r="B129" s="271" t="str">
        <f t="shared" si="36"/>
        <v>Hide</v>
      </c>
      <c r="P129" s="283"/>
      <c r="AO129" s="562"/>
      <c r="AS129" s="576"/>
    </row>
    <row r="130" spans="1:45" hidden="1">
      <c r="B130" s="271" t="str">
        <f t="shared" si="36"/>
        <v>Hide</v>
      </c>
      <c r="P130" s="283"/>
      <c r="T130" s="596" t="s">
        <v>301</v>
      </c>
      <c r="V130" s="271" t="str">
        <f>IF($V31="","",$V31)</f>
        <v/>
      </c>
      <c r="X130" s="271" t="str">
        <f>IF($V31="","",$V31)</f>
        <v/>
      </c>
      <c r="Z130" s="271" t="str">
        <f>IF($V31="","",$V31)</f>
        <v/>
      </c>
      <c r="AB130" s="596" t="str">
        <f t="shared" ref="AB130:AB132" si="37">IF(AB31="","",AB31)</f>
        <v/>
      </c>
      <c r="AD130" s="596" t="str">
        <f t="shared" ref="AD130:AD132" si="38">IF(AD31="","",AD31)</f>
        <v>ADOPTED</v>
      </c>
      <c r="AF130" s="596" t="str">
        <f t="shared" ref="AF130:AF132" si="39">IF(AF31="","",AF31)</f>
        <v>ADOPTED</v>
      </c>
      <c r="AH130" s="596" t="str">
        <f t="shared" ref="AH130:AH132" si="40">IF(AH31="","",AH31)</f>
        <v xml:space="preserve">ACTUAL </v>
      </c>
      <c r="AJ130" s="596" t="str">
        <f t="shared" ref="AJ130:AJ132" si="41">IF(AJ31="","",AJ31)</f>
        <v>PROJECTED</v>
      </c>
      <c r="AL130" s="596" t="str">
        <f t="shared" ref="AL130:AL132" si="42">IF(AL31="","",AL31)</f>
        <v>TOTAL</v>
      </c>
      <c r="AN130" s="596" t="str">
        <f t="shared" ref="AN130:AN132" si="43">IF(AN31="","",AN31)</f>
        <v>NAVIGATOR</v>
      </c>
      <c r="AO130" s="562"/>
      <c r="AP130" s="596" t="str">
        <f t="shared" ref="AP130:AP132" si="44">IF(AP31="","",AP31)</f>
        <v>ANNUAL</v>
      </c>
      <c r="AS130" s="576"/>
    </row>
    <row r="131" spans="1:45" hidden="1">
      <c r="B131" s="271" t="str">
        <f t="shared" si="36"/>
        <v>Hide</v>
      </c>
      <c r="P131" s="283"/>
      <c r="T131" s="596" t="str">
        <f t="shared" ref="T131:T132" si="45">IF(T32="","",T32)</f>
        <v xml:space="preserve">ACTUAL </v>
      </c>
      <c r="V131" s="596" t="str">
        <f t="shared" ref="V131:V132" si="46">IF(V32="","",V32)</f>
        <v xml:space="preserve">ACTUAL </v>
      </c>
      <c r="W131" s="596"/>
      <c r="X131" s="596" t="str">
        <f t="shared" ref="X131:X132" si="47">IF(X32="","",X32)</f>
        <v xml:space="preserve">ACTUAL </v>
      </c>
      <c r="Y131" s="596"/>
      <c r="Z131" s="596" t="str">
        <f t="shared" ref="Z131:Z132" si="48">IF(Z32="","",Z32)</f>
        <v xml:space="preserve">ACTUAL </v>
      </c>
      <c r="AA131" s="596"/>
      <c r="AB131" s="596" t="str">
        <f t="shared" si="37"/>
        <v xml:space="preserve">ACTUAL </v>
      </c>
      <c r="AC131" s="596"/>
      <c r="AD131" s="596" t="str">
        <f t="shared" si="38"/>
        <v xml:space="preserve">BUDGET </v>
      </c>
      <c r="AE131" s="596"/>
      <c r="AF131" s="596" t="str">
        <f t="shared" si="39"/>
        <v xml:space="preserve">BUDGET </v>
      </c>
      <c r="AG131" s="596"/>
      <c r="AH131" s="596" t="str">
        <f t="shared" si="40"/>
        <v>THRU</v>
      </c>
      <c r="AI131" s="596"/>
      <c r="AJ131" s="596" t="str">
        <f t="shared" si="41"/>
        <v>June thru</v>
      </c>
      <c r="AK131" s="596"/>
      <c r="AL131" s="596" t="str">
        <f t="shared" si="42"/>
        <v>PROJECTED</v>
      </c>
      <c r="AM131" s="596"/>
      <c r="AN131" s="596" t="str">
        <f t="shared" si="43"/>
        <v>BALANCE</v>
      </c>
      <c r="AO131" s="596"/>
      <c r="AP131" s="596" t="str">
        <f t="shared" si="44"/>
        <v xml:space="preserve">BUDGET </v>
      </c>
      <c r="AS131" s="576"/>
    </row>
    <row r="132" spans="1:45" hidden="1">
      <c r="B132" s="271" t="str">
        <f t="shared" si="36"/>
        <v>Hide</v>
      </c>
      <c r="P132" s="283"/>
      <c r="T132" s="597" t="str">
        <f t="shared" si="45"/>
        <v>TEST</v>
      </c>
      <c r="V132" s="597" t="str">
        <f t="shared" si="46"/>
        <v>FY 2012</v>
      </c>
      <c r="W132" s="597"/>
      <c r="X132" s="597" t="str">
        <f t="shared" si="47"/>
        <v>FY 2013</v>
      </c>
      <c r="Y132" s="597"/>
      <c r="Z132" s="597" t="str">
        <f t="shared" si="48"/>
        <v>FY 2014</v>
      </c>
      <c r="AA132" s="597"/>
      <c r="AB132" s="597" t="str">
        <f t="shared" si="37"/>
        <v>FY - 2015</v>
      </c>
      <c r="AC132" s="597"/>
      <c r="AD132" s="597" t="str">
        <f t="shared" si="38"/>
        <v>FY - 2015</v>
      </c>
      <c r="AE132" s="597"/>
      <c r="AF132" s="597" t="str">
        <f t="shared" si="39"/>
        <v>FY - 2016</v>
      </c>
      <c r="AG132" s="597"/>
      <c r="AH132" s="597" t="str">
        <f t="shared" si="40"/>
        <v>May – 2016</v>
      </c>
      <c r="AI132" s="597"/>
      <c r="AJ132" s="597" t="str">
        <f t="shared" si="41"/>
        <v>EoFY – 2016</v>
      </c>
      <c r="AK132" s="597"/>
      <c r="AL132" s="597" t="str">
        <f t="shared" si="42"/>
        <v>FY-2016</v>
      </c>
      <c r="AM132" s="597"/>
      <c r="AN132" s="597" t="str">
        <f t="shared" si="43"/>
        <v>FY - 2017</v>
      </c>
      <c r="AO132" s="596"/>
      <c r="AP132" s="597" t="str">
        <f t="shared" si="44"/>
        <v>FY - 2017</v>
      </c>
      <c r="AS132" s="576"/>
    </row>
    <row r="133" spans="1:45" hidden="1">
      <c r="B133" s="271" t="str">
        <f t="shared" si="36"/>
        <v>Hide</v>
      </c>
      <c r="P133" s="283"/>
      <c r="AO133" s="562"/>
      <c r="AS133" s="576"/>
    </row>
    <row r="134" spans="1:45" s="488" customFormat="1" hidden="1">
      <c r="A134" s="271"/>
      <c r="B134" s="271" t="str">
        <f t="shared" si="36"/>
        <v>Hide</v>
      </c>
      <c r="C134" s="271"/>
      <c r="D134" s="271"/>
      <c r="E134" s="272"/>
      <c r="F134" s="272"/>
      <c r="G134" s="272"/>
      <c r="H134" s="272"/>
      <c r="I134" s="271"/>
      <c r="J134" s="271"/>
      <c r="K134" s="273"/>
      <c r="L134" s="274"/>
      <c r="M134" s="274"/>
      <c r="N134" s="271"/>
      <c r="O134" s="271"/>
      <c r="P134" s="479" t="s">
        <v>463</v>
      </c>
      <c r="Q134" s="271"/>
      <c r="R134" s="271"/>
      <c r="S134" s="271"/>
      <c r="T134" s="598">
        <v>0</v>
      </c>
      <c r="U134" s="271"/>
      <c r="V134" s="598">
        <v>0</v>
      </c>
      <c r="X134" s="598">
        <v>0</v>
      </c>
      <c r="Z134" s="598">
        <v>0</v>
      </c>
      <c r="AB134" s="598">
        <v>-0.10000000009313226</v>
      </c>
      <c r="AD134" s="598">
        <v>0</v>
      </c>
      <c r="AF134" s="598">
        <v>0</v>
      </c>
      <c r="AH134" s="598">
        <v>0</v>
      </c>
      <c r="AJ134" s="598">
        <v>0</v>
      </c>
      <c r="AL134" s="598">
        <v>0</v>
      </c>
      <c r="AN134" s="598">
        <v>0</v>
      </c>
      <c r="AO134" s="599"/>
      <c r="AP134" s="598">
        <v>0</v>
      </c>
      <c r="AQ134" s="600"/>
      <c r="AS134" s="601"/>
    </row>
    <row r="135" spans="1:45" s="488" customFormat="1" hidden="1">
      <c r="A135" s="271"/>
      <c r="B135" s="271" t="str">
        <f t="shared" si="36"/>
        <v>Hide</v>
      </c>
      <c r="C135" s="271"/>
      <c r="D135" s="271"/>
      <c r="E135" s="272"/>
      <c r="F135" s="272"/>
      <c r="G135" s="272"/>
      <c r="H135" s="272"/>
      <c r="I135" s="271"/>
      <c r="J135" s="271"/>
      <c r="K135" s="273"/>
      <c r="L135" s="274"/>
      <c r="M135" s="274"/>
      <c r="N135" s="271"/>
      <c r="O135" s="271"/>
      <c r="P135" s="479" t="s">
        <v>464</v>
      </c>
      <c r="Q135" s="271"/>
      <c r="R135" s="271"/>
      <c r="S135" s="271"/>
      <c r="T135" s="598">
        <v>0</v>
      </c>
      <c r="U135" s="271"/>
      <c r="V135" s="598">
        <v>0</v>
      </c>
      <c r="X135" s="598">
        <v>0</v>
      </c>
      <c r="Z135" s="598">
        <v>0</v>
      </c>
      <c r="AB135" s="598">
        <v>-0.15999999991618097</v>
      </c>
      <c r="AD135" s="598">
        <v>0</v>
      </c>
      <c r="AF135" s="598">
        <v>0</v>
      </c>
      <c r="AH135" s="598">
        <v>0</v>
      </c>
      <c r="AJ135" s="598">
        <v>0</v>
      </c>
      <c r="AL135" s="598">
        <v>0</v>
      </c>
      <c r="AN135" s="598">
        <v>0</v>
      </c>
      <c r="AO135" s="599"/>
      <c r="AP135" s="598">
        <v>0</v>
      </c>
      <c r="AQ135" s="600"/>
      <c r="AS135" s="601"/>
    </row>
    <row r="136" spans="1:45" s="488" customFormat="1" hidden="1">
      <c r="A136" s="271"/>
      <c r="B136" s="271" t="str">
        <f t="shared" si="36"/>
        <v>Hide</v>
      </c>
      <c r="C136" s="271"/>
      <c r="D136" s="271"/>
      <c r="E136" s="272"/>
      <c r="F136" s="272"/>
      <c r="G136" s="272"/>
      <c r="H136" s="272"/>
      <c r="I136" s="271"/>
      <c r="J136" s="271"/>
      <c r="K136" s="273"/>
      <c r="L136" s="274"/>
      <c r="M136" s="274"/>
      <c r="N136" s="271"/>
      <c r="O136" s="271"/>
      <c r="P136" s="479" t="s">
        <v>451</v>
      </c>
      <c r="Q136" s="271"/>
      <c r="R136" s="271"/>
      <c r="S136" s="271"/>
      <c r="T136" s="598">
        <v>0</v>
      </c>
      <c r="U136" s="271"/>
      <c r="V136" s="598">
        <v>0</v>
      </c>
      <c r="X136" s="598">
        <v>0</v>
      </c>
      <c r="Z136" s="598">
        <v>0</v>
      </c>
      <c r="AB136" s="598">
        <v>0.13000000000465661</v>
      </c>
      <c r="AD136" s="598">
        <v>0</v>
      </c>
      <c r="AF136" s="598">
        <v>0</v>
      </c>
      <c r="AH136" s="598">
        <v>0</v>
      </c>
      <c r="AJ136" s="598">
        <v>0</v>
      </c>
      <c r="AL136" s="598">
        <v>0</v>
      </c>
      <c r="AN136" s="598">
        <v>0</v>
      </c>
      <c r="AO136" s="599"/>
      <c r="AP136" s="598">
        <v>0</v>
      </c>
      <c r="AQ136" s="600"/>
      <c r="AS136" s="601"/>
    </row>
    <row r="137" spans="1:45" s="488" customFormat="1" hidden="1">
      <c r="A137" s="271"/>
      <c r="B137" s="271" t="str">
        <f t="shared" si="36"/>
        <v>Hide</v>
      </c>
      <c r="C137" s="271"/>
      <c r="D137" s="271"/>
      <c r="E137" s="272"/>
      <c r="F137" s="272"/>
      <c r="G137" s="272"/>
      <c r="H137" s="272"/>
      <c r="I137" s="271"/>
      <c r="J137" s="271"/>
      <c r="K137" s="273"/>
      <c r="L137" s="274"/>
      <c r="M137" s="274"/>
      <c r="N137" s="271"/>
      <c r="O137" s="271"/>
      <c r="P137" s="479" t="s">
        <v>465</v>
      </c>
      <c r="Q137" s="271"/>
      <c r="R137" s="271"/>
      <c r="S137" s="271"/>
      <c r="T137" s="602">
        <v>0</v>
      </c>
      <c r="U137" s="271"/>
      <c r="V137" s="602">
        <v>0</v>
      </c>
      <c r="W137" s="600"/>
      <c r="X137" s="602">
        <v>0</v>
      </c>
      <c r="Y137" s="600"/>
      <c r="Z137" s="602">
        <v>0</v>
      </c>
      <c r="AA137" s="600"/>
      <c r="AB137" s="602">
        <v>0</v>
      </c>
      <c r="AC137" s="600"/>
      <c r="AD137" s="602">
        <v>0</v>
      </c>
      <c r="AE137" s="600"/>
      <c r="AF137" s="602">
        <v>0</v>
      </c>
      <c r="AG137" s="600"/>
      <c r="AH137" s="602">
        <v>0</v>
      </c>
      <c r="AI137" s="600"/>
      <c r="AJ137" s="602">
        <v>0</v>
      </c>
      <c r="AK137" s="600"/>
      <c r="AL137" s="602">
        <v>0</v>
      </c>
      <c r="AM137" s="600"/>
      <c r="AN137" s="602">
        <v>0</v>
      </c>
      <c r="AO137" s="600"/>
      <c r="AP137" s="602">
        <v>0</v>
      </c>
      <c r="AQ137" s="600"/>
      <c r="AS137" s="601"/>
    </row>
    <row r="138" spans="1:45" hidden="1">
      <c r="B138" s="271" t="str">
        <f t="shared" si="36"/>
        <v>Hide</v>
      </c>
      <c r="P138" s="283"/>
      <c r="AO138" s="562"/>
      <c r="AS138" s="576"/>
    </row>
    <row r="139" spans="1:45" hidden="1">
      <c r="B139" s="271" t="str">
        <f>IF(COUNTIF(V139:AP139,"ERROR")=0,"Hide","Show")</f>
        <v>Hide</v>
      </c>
      <c r="P139" s="283"/>
      <c r="R139" s="271">
        <f>COUNTIF(V139:AP139,"ERROR")</f>
        <v>0</v>
      </c>
      <c r="V139" s="275" t="str">
        <f>IF(OR(ABS(V134)&gt;10,ABS(V135)&gt;10,ABS(V136)&gt;10,ABS(V137)&gt;10),"ERROR","")</f>
        <v/>
      </c>
      <c r="W139" s="275"/>
      <c r="X139" s="275" t="str">
        <f>IF(OR(ABS(X134)&gt;10,ABS(X135)&gt;10,ABS(X136)&gt;10,ABS(X137)&gt;10),"ERROR","")</f>
        <v/>
      </c>
      <c r="Y139" s="275"/>
      <c r="Z139" s="275" t="str">
        <f>IF(OR(ABS(Z134)&gt;10,ABS(Z135)&gt;10,ABS(Z136)&gt;10,ABS(Z137)&gt;10),"ERROR","")</f>
        <v/>
      </c>
      <c r="AA139" s="275"/>
      <c r="AB139" s="275" t="str">
        <f>IF(OR(ABS(AB134)&gt;10,ABS(AB135)&gt;10,ABS(AB136)&gt;10,ABS(AB137)&gt;10),"ERROR","")</f>
        <v/>
      </c>
      <c r="AC139" s="275"/>
      <c r="AD139" s="275" t="str">
        <f>IF(OR(ABS(AD134)&gt;10,ABS(AD135)&gt;10,ABS(AD136)&gt;10,ABS(AD137)&gt;10),"ERROR","")</f>
        <v/>
      </c>
      <c r="AE139" s="275"/>
      <c r="AF139" s="275" t="str">
        <f>IF(OR(ABS(AF134)&gt;10,ABS(AF135)&gt;10,ABS(AF136)&gt;10,ABS(AF137)&gt;10),"ERROR","")</f>
        <v/>
      </c>
      <c r="AG139" s="275"/>
      <c r="AH139" s="275" t="str">
        <f>IF(OR(ABS(AH134)&gt;10,ABS(AH135)&gt;10,ABS(AH136)&gt;10,ABS(AH137)&gt;10),"ERROR","")</f>
        <v/>
      </c>
      <c r="AI139" s="275"/>
      <c r="AJ139" s="275"/>
      <c r="AK139" s="275"/>
      <c r="AL139" s="275"/>
      <c r="AM139" s="275"/>
      <c r="AN139" s="275" t="str">
        <f>IF(OR(ABS(AN134)&gt;10,ABS(AN135)&gt;10,ABS(AN136)&gt;10,ABS(AN137)&gt;10),"ERROR","")</f>
        <v/>
      </c>
      <c r="AO139" s="603"/>
      <c r="AP139" s="275"/>
      <c r="AS139" s="576"/>
    </row>
    <row r="140" spans="1:45" hidden="1">
      <c r="B140" s="271" t="s">
        <v>31</v>
      </c>
      <c r="P140" s="283"/>
      <c r="AO140" s="562"/>
      <c r="AS140" s="576"/>
    </row>
    <row r="141" spans="1:45" hidden="1">
      <c r="B141" s="271" t="s">
        <v>31</v>
      </c>
      <c r="P141" s="283"/>
      <c r="T141" s="275" t="s">
        <v>461</v>
      </c>
      <c r="AD141" s="275" t="s">
        <v>466</v>
      </c>
      <c r="AF141" s="275" t="s">
        <v>466</v>
      </c>
      <c r="AO141" s="562"/>
      <c r="AS141" s="576"/>
    </row>
    <row r="142" spans="1:45" hidden="1">
      <c r="B142" s="271" t="s">
        <v>31</v>
      </c>
      <c r="P142" s="479" t="s">
        <v>463</v>
      </c>
      <c r="T142" s="604">
        <f>T126</f>
        <v>0</v>
      </c>
      <c r="AD142" s="598">
        <v>0</v>
      </c>
      <c r="AF142" s="598">
        <v>0</v>
      </c>
      <c r="AO142" s="562"/>
      <c r="AS142" s="576"/>
    </row>
    <row r="143" spans="1:45" hidden="1">
      <c r="B143" s="271" t="s">
        <v>31</v>
      </c>
      <c r="P143" s="479" t="s">
        <v>464</v>
      </c>
      <c r="T143" s="604">
        <f>IF(ISERROR(HLOOKUP(F22,Balance_Sheet!N10:AC11,2)),0,HLOOKUP(F22,Balance_Sheet!N10:AC11,2))</f>
        <v>0</v>
      </c>
      <c r="AD143" s="598">
        <v>0</v>
      </c>
      <c r="AF143" s="598">
        <v>0</v>
      </c>
      <c r="AO143" s="562"/>
      <c r="AS143" s="576"/>
    </row>
    <row r="144" spans="1:45" hidden="1">
      <c r="B144" s="271" t="s">
        <v>31</v>
      </c>
      <c r="P144" s="479" t="s">
        <v>451</v>
      </c>
      <c r="T144" s="605">
        <f>T143-T142</f>
        <v>0</v>
      </c>
      <c r="AD144" s="598">
        <v>0</v>
      </c>
      <c r="AF144" s="598">
        <v>0</v>
      </c>
      <c r="AO144" s="562"/>
      <c r="AS144" s="576"/>
    </row>
    <row r="145" spans="2:45" hidden="1">
      <c r="B145" s="271" t="s">
        <v>31</v>
      </c>
      <c r="P145" s="479"/>
      <c r="AD145" s="606">
        <f>ABS(AD142)+ABS(AD143)+ABS(AD144)</f>
        <v>0</v>
      </c>
      <c r="AF145" s="606">
        <f>ABS(AF142)+ABS(AF143)+ABS(AF144)</f>
        <v>0</v>
      </c>
      <c r="AO145" s="562"/>
      <c r="AS145" s="576"/>
    </row>
    <row r="146" spans="2:45" hidden="1">
      <c r="B146" s="271" t="str">
        <f t="shared" ref="B146:B155" si="49">B145</f>
        <v>Hide</v>
      </c>
      <c r="P146" s="283"/>
      <c r="AO146" s="562"/>
      <c r="AS146" s="607"/>
    </row>
    <row r="147" spans="2:45" hidden="1">
      <c r="B147" s="271" t="str">
        <f t="shared" si="49"/>
        <v>Hide</v>
      </c>
      <c r="P147" s="283"/>
      <c r="AO147" s="562"/>
      <c r="AS147" s="607"/>
    </row>
    <row r="148" spans="2:45" ht="13.5" hidden="1">
      <c r="B148" s="271" t="str">
        <f t="shared" si="49"/>
        <v>Hide</v>
      </c>
      <c r="P148" s="497">
        <v>361001</v>
      </c>
      <c r="R148" s="497" t="s">
        <v>467</v>
      </c>
      <c r="V148" s="497"/>
      <c r="X148" s="608">
        <v>0</v>
      </c>
      <c r="Z148" s="609">
        <f>IF($X148=0,0,$AB148)</f>
        <v>0</v>
      </c>
      <c r="AB148" s="610">
        <f>T144</f>
        <v>0</v>
      </c>
      <c r="AO148" s="562"/>
      <c r="AS148" s="607"/>
    </row>
    <row r="149" spans="2:45" ht="13.5" hidden="1">
      <c r="B149" s="271" t="str">
        <f t="shared" si="49"/>
        <v>Hide</v>
      </c>
      <c r="P149" s="497">
        <v>549001</v>
      </c>
      <c r="R149" s="497" t="s">
        <v>468</v>
      </c>
      <c r="V149" s="497">
        <v>51301</v>
      </c>
      <c r="X149" s="608">
        <v>0</v>
      </c>
      <c r="Z149" s="609">
        <f>IF($X149=0,0,IF($Z148=0,$AB149,0))</f>
        <v>0</v>
      </c>
      <c r="AB149" s="610">
        <f t="shared" ref="AB149:AB155" si="50">$AB148</f>
        <v>0</v>
      </c>
      <c r="AO149" s="562"/>
      <c r="AS149" s="607"/>
    </row>
    <row r="150" spans="2:45" ht="13.5" hidden="1">
      <c r="B150" s="271" t="str">
        <f t="shared" si="49"/>
        <v>Hide</v>
      </c>
      <c r="P150" s="497">
        <v>549900</v>
      </c>
      <c r="R150" s="497" t="s">
        <v>469</v>
      </c>
      <c r="V150" s="497">
        <v>51301</v>
      </c>
      <c r="X150" s="608">
        <v>0</v>
      </c>
      <c r="Z150" s="609">
        <f>IF($X150=0,0,IF(SUM($Z148:$Z149)=0,$AB150,0))</f>
        <v>0</v>
      </c>
      <c r="AB150" s="610">
        <f t="shared" si="50"/>
        <v>0</v>
      </c>
      <c r="AO150" s="562"/>
      <c r="AS150" s="607"/>
    </row>
    <row r="151" spans="2:45" ht="13.5" hidden="1">
      <c r="B151" s="271" t="str">
        <f t="shared" si="49"/>
        <v>Hide</v>
      </c>
      <c r="P151" s="497">
        <v>565001</v>
      </c>
      <c r="R151" s="497" t="s">
        <v>439</v>
      </c>
      <c r="V151" s="497" t="s">
        <v>470</v>
      </c>
      <c r="X151" s="608">
        <v>0</v>
      </c>
      <c r="Z151" s="609">
        <f>IF($X151=0,0,IF(SUM($Z148:$Z150)=0,$AB151,0))</f>
        <v>0</v>
      </c>
      <c r="AB151" s="610">
        <f t="shared" si="50"/>
        <v>0</v>
      </c>
      <c r="AO151" s="562"/>
      <c r="AS151" s="607"/>
    </row>
    <row r="152" spans="2:45" ht="13.5" hidden="1">
      <c r="B152" s="271" t="str">
        <f t="shared" si="49"/>
        <v>Hide</v>
      </c>
      <c r="P152" s="497">
        <f t="shared" ref="P152:P154" si="51">P151+1</f>
        <v>565002</v>
      </c>
      <c r="R152" s="497" t="s">
        <v>439</v>
      </c>
      <c r="V152" s="497" t="s">
        <v>470</v>
      </c>
      <c r="X152" s="608">
        <v>0</v>
      </c>
      <c r="Z152" s="609">
        <f>IF($X152=0,0,IF(SUM($Z148:$Z151)=0,$AB152,0))</f>
        <v>0</v>
      </c>
      <c r="AB152" s="610">
        <f t="shared" si="50"/>
        <v>0</v>
      </c>
      <c r="AO152" s="562"/>
      <c r="AS152" s="607"/>
    </row>
    <row r="153" spans="2:45" ht="13.5" hidden="1">
      <c r="B153" s="271" t="str">
        <f t="shared" si="49"/>
        <v>Hide</v>
      </c>
      <c r="P153" s="497">
        <f t="shared" si="51"/>
        <v>565003</v>
      </c>
      <c r="R153" s="497" t="s">
        <v>439</v>
      </c>
      <c r="V153" s="497" t="s">
        <v>470</v>
      </c>
      <c r="X153" s="608">
        <v>0</v>
      </c>
      <c r="Z153" s="609">
        <f>IF($X153=0,0,IF(SUM($Z148:$Z152)=0,$AB153,0))</f>
        <v>0</v>
      </c>
      <c r="AB153" s="610">
        <f t="shared" si="50"/>
        <v>0</v>
      </c>
      <c r="AO153" s="562"/>
      <c r="AS153" s="607"/>
    </row>
    <row r="154" spans="2:45" ht="13.5" hidden="1">
      <c r="B154" s="271" t="str">
        <f t="shared" si="49"/>
        <v>Hide</v>
      </c>
      <c r="P154" s="497">
        <f t="shared" si="51"/>
        <v>565004</v>
      </c>
      <c r="R154" s="497" t="s">
        <v>439</v>
      </c>
      <c r="V154" s="497" t="s">
        <v>470</v>
      </c>
      <c r="X154" s="608">
        <v>0</v>
      </c>
      <c r="Z154" s="609">
        <f>IF($X154=0,0,IF(SUM($Z148:$Z153)=0,$AB154,0))</f>
        <v>0</v>
      </c>
      <c r="AB154" s="610">
        <f t="shared" si="50"/>
        <v>0</v>
      </c>
      <c r="AO154" s="562"/>
      <c r="AS154" s="607"/>
    </row>
    <row r="155" spans="2:45" hidden="1">
      <c r="B155" s="271" t="str">
        <f t="shared" si="49"/>
        <v>Hide</v>
      </c>
      <c r="R155" s="497" t="s">
        <v>471</v>
      </c>
      <c r="X155" s="611"/>
      <c r="Z155" s="609">
        <f>IF(SUM($Z148:$Z154)=0,$AB155,0)</f>
        <v>0</v>
      </c>
      <c r="AB155" s="610">
        <f t="shared" si="50"/>
        <v>0</v>
      </c>
      <c r="AO155" s="562"/>
      <c r="AS155" s="607"/>
    </row>
  </sheetData>
  <sheetProtection selectLockedCells="1" selectUnlockedCells="1"/>
  <mergeCells count="6">
    <mergeCell ref="P25:AP25"/>
    <mergeCell ref="P26:AP26"/>
    <mergeCell ref="P27:AP27"/>
    <mergeCell ref="P29:AP29"/>
    <mergeCell ref="P35:AP35"/>
    <mergeCell ref="R36:AP36"/>
  </mergeCells>
  <printOptions horizontalCentered="1"/>
  <pageMargins left="0.75" right="0.75" top="1.6166666666666667" bottom="1.1777777777777776" header="0.4" footer="0.35"/>
  <pageSetup scale="82" firstPageNumber="0" orientation="portrait" horizontalDpi="300" verticalDpi="300"/>
  <headerFooter alignWithMargins="0">
    <oddHeader>&amp;L&amp;"Arial black,Bold"&amp;15HARMONY
Community Development District&amp;R&amp;"Arial,Italic"&amp;13 004 Debt Service Fund</oddHeader>
    <oddFooter>&amp;L     Fiscal Year 2017
     Annual Operating and Debt Service Budget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BF160"/>
  <sheetViews>
    <sheetView topLeftCell="A25" zoomScale="95" zoomScaleNormal="95" zoomScaleSheetLayoutView="95" workbookViewId="0">
      <pane ySplit="9" topLeftCell="A34" activePane="bottomLeft" state="frozen"/>
      <selection activeCell="A25" sqref="A25"/>
      <selection pane="bottomLeft"/>
    </sheetView>
  </sheetViews>
  <sheetFormatPr defaultRowHeight="12.75"/>
  <cols>
    <col min="1" max="4" width="0" style="271" hidden="1" customWidth="1"/>
    <col min="5" max="8" width="0" style="272" hidden="1" customWidth="1"/>
    <col min="9" max="10" width="0" style="271" hidden="1" customWidth="1"/>
    <col min="11" max="11" width="0" style="273" hidden="1" customWidth="1"/>
    <col min="12" max="13" width="0" style="274" hidden="1" customWidth="1"/>
    <col min="14" max="17" width="0" style="271" hidden="1" customWidth="1"/>
    <col min="18" max="18" width="35.7109375" style="271" customWidth="1"/>
    <col min="19" max="20" width="0" style="271" hidden="1" customWidth="1"/>
    <col min="21" max="21" width="0.42578125" style="271" customWidth="1"/>
    <col min="22" max="27" width="0" style="271" hidden="1" customWidth="1"/>
    <col min="28" max="28" width="11.7109375" style="271" customWidth="1"/>
    <col min="29" max="29" width="0.42578125" style="271" customWidth="1"/>
    <col min="30" max="31" width="0" style="271" hidden="1" customWidth="1"/>
    <col min="32" max="32" width="11.7109375" style="271" customWidth="1"/>
    <col min="33" max="33" width="0.42578125" style="271" customWidth="1"/>
    <col min="34" max="34" width="11.7109375" style="271" customWidth="1"/>
    <col min="35" max="35" width="0.42578125" style="271" customWidth="1"/>
    <col min="36" max="36" width="11.7109375" style="271" customWidth="1"/>
    <col min="37" max="37" width="0.42578125" style="271" customWidth="1"/>
    <col min="38" max="38" width="11.7109375" style="271" customWidth="1"/>
    <col min="39" max="39" width="0.42578125" style="271" customWidth="1"/>
    <col min="40" max="41" width="0" style="271" hidden="1" customWidth="1"/>
    <col min="42" max="42" width="11.7109375" style="271" customWidth="1"/>
    <col min="43" max="43" width="0" style="271" hidden="1" customWidth="1"/>
    <col min="44" max="44" width="0.85546875" style="271" customWidth="1"/>
    <col min="45" max="45" width="65.85546875" style="271" customWidth="1"/>
    <col min="46" max="58" width="0" style="271" hidden="1" customWidth="1"/>
    <col min="59" max="16384" width="9.140625" style="271"/>
  </cols>
  <sheetData>
    <row r="1" spans="1:58" s="275" customFormat="1" hidden="1">
      <c r="A1" s="275" t="s">
        <v>527</v>
      </c>
      <c r="B1" s="276" t="s">
        <v>53</v>
      </c>
      <c r="C1" s="275" t="s">
        <v>31</v>
      </c>
      <c r="D1" s="275" t="s">
        <v>31</v>
      </c>
      <c r="E1" s="275" t="s">
        <v>31</v>
      </c>
      <c r="F1" s="275" t="s">
        <v>31</v>
      </c>
      <c r="G1" s="277" t="s">
        <v>234</v>
      </c>
      <c r="H1" s="275" t="s">
        <v>31</v>
      </c>
      <c r="I1" s="275" t="s">
        <v>31</v>
      </c>
      <c r="J1" s="275" t="s">
        <v>31</v>
      </c>
      <c r="K1" s="278" t="s">
        <v>31</v>
      </c>
      <c r="L1" s="275" t="s">
        <v>235</v>
      </c>
      <c r="M1" s="275" t="s">
        <v>235</v>
      </c>
      <c r="N1" s="275" t="s">
        <v>235</v>
      </c>
      <c r="O1" s="275" t="s">
        <v>235</v>
      </c>
      <c r="P1" s="275" t="str">
        <f>IF($F$9="no","Hide","Show")</f>
        <v>Hide</v>
      </c>
      <c r="Q1" s="275" t="str">
        <f>P1</f>
        <v>Hide</v>
      </c>
      <c r="R1" s="275" t="s">
        <v>62</v>
      </c>
      <c r="S1" s="275" t="s">
        <v>31</v>
      </c>
      <c r="T1" s="275" t="s">
        <v>31</v>
      </c>
      <c r="V1" s="275" t="str">
        <f>IF($F$7=4,"Show","Hide")</f>
        <v>Hide</v>
      </c>
      <c r="W1" s="275" t="str">
        <f>V1</f>
        <v>Hide</v>
      </c>
      <c r="X1" s="275" t="str">
        <f>IF($F$7&gt;=3,"Show","Hide")</f>
        <v>Hide</v>
      </c>
      <c r="Y1" s="275" t="str">
        <f>X1</f>
        <v>Hide</v>
      </c>
      <c r="Z1" s="275" t="str">
        <f>IF($F$7&gt;=2,"Show","Hide")</f>
        <v>Hide</v>
      </c>
      <c r="AA1" s="275" t="str">
        <f>Z1</f>
        <v>Hide</v>
      </c>
      <c r="AB1" s="275" t="str">
        <f>IF($F$7&gt;=1,"Show","Hide")</f>
        <v>Show</v>
      </c>
      <c r="AC1" s="275" t="str">
        <f>AB1</f>
        <v>Show</v>
      </c>
      <c r="AD1" s="275" t="str">
        <f>IF($F$8&gt;=2,"Show","Hide")</f>
        <v>Hide</v>
      </c>
      <c r="AE1" s="275" t="str">
        <f>AD1</f>
        <v>Hide</v>
      </c>
      <c r="AF1" s="275" t="str">
        <f>IF($F$8&gt;=1,"Show","Hide")</f>
        <v>Show</v>
      </c>
      <c r="AG1" s="275" t="str">
        <f>AF1</f>
        <v>Show</v>
      </c>
      <c r="AH1" s="275" t="str">
        <f>IF($F$9="no","Show","hide")</f>
        <v>Show</v>
      </c>
      <c r="AI1" s="275" t="str">
        <f>AH1</f>
        <v>Show</v>
      </c>
      <c r="AJ1" s="279" t="str">
        <f>"Data+"&amp;AH1</f>
        <v>Data+Show</v>
      </c>
      <c r="AK1" s="279" t="str">
        <f>AH1</f>
        <v>Show</v>
      </c>
      <c r="AL1" s="275" t="s">
        <v>62</v>
      </c>
      <c r="AM1" s="275" t="str">
        <f>AL1</f>
        <v>Show</v>
      </c>
      <c r="AN1" s="275" t="s">
        <v>31</v>
      </c>
      <c r="AO1" s="275" t="s">
        <v>31</v>
      </c>
      <c r="AP1" s="275" t="s">
        <v>236</v>
      </c>
      <c r="AQ1" s="275" t="s">
        <v>31</v>
      </c>
      <c r="AS1" s="280" t="s">
        <v>236</v>
      </c>
      <c r="AT1" s="275" t="s">
        <v>237</v>
      </c>
      <c r="AU1" s="275" t="s">
        <v>237</v>
      </c>
      <c r="AV1" s="275" t="s">
        <v>237</v>
      </c>
      <c r="AW1" s="275" t="s">
        <v>237</v>
      </c>
      <c r="AX1" s="275" t="s">
        <v>237</v>
      </c>
      <c r="AY1" s="275" t="s">
        <v>237</v>
      </c>
      <c r="AZ1" s="275" t="s">
        <v>237</v>
      </c>
      <c r="BA1" s="275" t="s">
        <v>237</v>
      </c>
      <c r="BB1" s="275" t="s">
        <v>237</v>
      </c>
      <c r="BC1" s="275" t="s">
        <v>237</v>
      </c>
      <c r="BD1" s="275" t="s">
        <v>237</v>
      </c>
      <c r="BE1" s="275" t="s">
        <v>237</v>
      </c>
      <c r="BF1" s="275" t="s">
        <v>237</v>
      </c>
    </row>
    <row r="2" spans="1:58" s="274" customFormat="1" hidden="1">
      <c r="A2" s="281"/>
      <c r="B2" s="274" t="str">
        <f ca="1">IF(AQ131=0,"hidesheet","Hide")</f>
        <v>Hide</v>
      </c>
      <c r="C2" s="282" t="s">
        <v>135</v>
      </c>
      <c r="D2" s="282"/>
      <c r="E2" s="272"/>
      <c r="F2" s="272"/>
      <c r="G2" s="272"/>
      <c r="H2" s="283"/>
      <c r="I2" s="275"/>
      <c r="J2" s="275"/>
      <c r="K2" s="273"/>
      <c r="T2" s="274" t="str">
        <f>TEXT("..C"&amp;$F$5,"MM/DD/YYYY")</f>
        <v>..C02/29/2016</v>
      </c>
      <c r="V2" s="274" t="str">
        <f>I9</f>
        <v>..C9/30/2012</v>
      </c>
      <c r="X2" s="274" t="str">
        <f>I8</f>
        <v>..C9/30/2013</v>
      </c>
      <c r="Z2" s="274" t="str">
        <f>I7</f>
        <v>..C9/30/2014</v>
      </c>
      <c r="AB2" s="274" t="str">
        <f>I6</f>
        <v>..C9/30/2015</v>
      </c>
      <c r="AD2" s="274" t="str">
        <f>AB2</f>
        <v>..C9/30/2015</v>
      </c>
      <c r="AF2" s="274" t="str">
        <f>I5</f>
        <v>..C9/30/2016</v>
      </c>
      <c r="AH2" s="274" t="str">
        <f>TEXT("..C"&amp;$F$5,"MM/DD/YYYY")</f>
        <v>..C02/29/2016</v>
      </c>
      <c r="AJ2" s="274" t="str">
        <f>AH2</f>
        <v>..C02/29/2016</v>
      </c>
      <c r="AP2" s="275"/>
      <c r="AS2" s="271"/>
    </row>
    <row r="3" spans="1:58" s="274" customFormat="1" hidden="1">
      <c r="B3" s="274" t="s">
        <v>31</v>
      </c>
      <c r="C3" s="282" t="s">
        <v>136</v>
      </c>
      <c r="D3" s="282"/>
      <c r="E3" s="272"/>
      <c r="F3" s="272"/>
      <c r="G3" s="272"/>
      <c r="H3" s="284" t="s">
        <v>238</v>
      </c>
      <c r="I3" s="285" t="s">
        <v>239</v>
      </c>
      <c r="J3" s="285" t="s">
        <v>240</v>
      </c>
      <c r="K3" s="273"/>
      <c r="T3" s="274" t="str">
        <f>$J$4</f>
        <v>10/1/2015..02/29/2016</v>
      </c>
      <c r="V3" s="274" t="s">
        <v>241</v>
      </c>
      <c r="X3" s="274" t="s">
        <v>242</v>
      </c>
      <c r="Z3" s="274" t="s">
        <v>243</v>
      </c>
      <c r="AB3" s="274" t="s">
        <v>244</v>
      </c>
      <c r="AD3" s="274" t="s">
        <v>244</v>
      </c>
      <c r="AF3" s="274" t="s">
        <v>245</v>
      </c>
      <c r="AH3" s="274" t="str">
        <f>$J$4</f>
        <v>10/1/2015..02/29/2016</v>
      </c>
      <c r="AJ3" s="274" t="s">
        <v>246</v>
      </c>
      <c r="AN3" s="275" t="s">
        <v>247</v>
      </c>
      <c r="AO3" s="275"/>
      <c r="AP3" s="275" t="s">
        <v>247</v>
      </c>
      <c r="AS3" s="271"/>
    </row>
    <row r="4" spans="1:58" s="274" customFormat="1" ht="15" hidden="1" customHeight="1">
      <c r="B4" s="274" t="s">
        <v>31</v>
      </c>
      <c r="E4" s="272" t="s">
        <v>248</v>
      </c>
      <c r="F4" s="286" t="s">
        <v>249</v>
      </c>
      <c r="G4" s="283"/>
      <c r="H4" s="283" t="str">
        <f>F4</f>
        <v>2017</v>
      </c>
      <c r="I4" s="274" t="str">
        <f t="shared" ref="I4:I10" si="0">"..C9/30/"&amp;H4</f>
        <v>..C9/30/2017</v>
      </c>
      <c r="J4" s="274" t="str">
        <f>"10/1/"&amp;H6&amp;".."&amp;F5</f>
        <v>10/1/2015..02/29/2016</v>
      </c>
      <c r="K4" s="273"/>
      <c r="T4" s="275" t="s">
        <v>251</v>
      </c>
      <c r="V4" s="275" t="s">
        <v>251</v>
      </c>
      <c r="W4" s="288"/>
      <c r="X4" s="275" t="s">
        <v>251</v>
      </c>
      <c r="Y4" s="288"/>
      <c r="Z4" s="275" t="s">
        <v>251</v>
      </c>
      <c r="AA4" s="288"/>
      <c r="AB4" s="275" t="s">
        <v>251</v>
      </c>
      <c r="AC4" s="288"/>
      <c r="AD4" s="275" t="s">
        <v>252</v>
      </c>
      <c r="AE4" s="288"/>
      <c r="AF4" s="275" t="s">
        <v>252</v>
      </c>
      <c r="AG4" s="275"/>
      <c r="AH4" s="275" t="s">
        <v>251</v>
      </c>
      <c r="AI4" s="275"/>
      <c r="AJ4" s="275" t="s">
        <v>252</v>
      </c>
      <c r="AK4" s="275"/>
      <c r="AL4" s="275" t="s">
        <v>252</v>
      </c>
      <c r="AM4" s="275"/>
      <c r="AN4" s="275" t="s">
        <v>252</v>
      </c>
      <c r="AO4" s="275"/>
      <c r="AP4" s="275" t="s">
        <v>252</v>
      </c>
      <c r="AQ4" s="275"/>
      <c r="AR4" s="288"/>
      <c r="AS4" s="289"/>
    </row>
    <row r="5" spans="1:58" s="274" customFormat="1" ht="15" hidden="1" customHeight="1">
      <c r="B5" s="274" t="s">
        <v>31</v>
      </c>
      <c r="C5" s="274" t="s">
        <v>253</v>
      </c>
      <c r="D5" s="274" t="s">
        <v>74</v>
      </c>
      <c r="E5" s="272" t="s">
        <v>87</v>
      </c>
      <c r="F5" s="512" t="s">
        <v>481</v>
      </c>
      <c r="G5" s="513"/>
      <c r="H5" s="283">
        <f t="shared" ref="H5:H10" si="1">H4-1</f>
        <v>2016</v>
      </c>
      <c r="I5" s="274" t="str">
        <f t="shared" si="0"/>
        <v>..C9/30/2016</v>
      </c>
      <c r="J5" s="274" t="s">
        <v>254</v>
      </c>
      <c r="K5" s="273"/>
      <c r="O5" s="288"/>
      <c r="P5" s="288"/>
      <c r="Q5" s="288"/>
      <c r="R5" s="288"/>
      <c r="S5" s="288"/>
      <c r="T5" s="275" t="str">
        <f>AF5</f>
        <v>..C9/30/2015</v>
      </c>
      <c r="U5" s="288"/>
      <c r="V5" s="275" t="str">
        <f>I10</f>
        <v>..C9/30/2011</v>
      </c>
      <c r="W5" s="275"/>
      <c r="X5" s="275" t="str">
        <f>V2</f>
        <v>..C9/30/2012</v>
      </c>
      <c r="Y5" s="275"/>
      <c r="Z5" s="275" t="str">
        <f>X2</f>
        <v>..C9/30/2013</v>
      </c>
      <c r="AA5" s="275"/>
      <c r="AB5" s="275" t="str">
        <f>Z2</f>
        <v>..C9/30/2014</v>
      </c>
      <c r="AC5" s="275"/>
      <c r="AD5" s="275" t="str">
        <f>AB5</f>
        <v>..C9/30/2014</v>
      </c>
      <c r="AE5" s="275"/>
      <c r="AF5" s="275" t="str">
        <f>AD2</f>
        <v>..C9/30/2015</v>
      </c>
      <c r="AG5" s="292"/>
      <c r="AH5" s="275" t="str">
        <f>AF5</f>
        <v>..C9/30/2015</v>
      </c>
      <c r="AI5" s="288"/>
      <c r="AJ5" s="275" t="e">
        <f>I11</f>
        <v>#VALUE!</v>
      </c>
      <c r="AK5" s="288"/>
      <c r="AL5" s="288"/>
      <c r="AM5" s="288"/>
      <c r="AN5" s="275" t="str">
        <f>$I$4</f>
        <v>..C9/30/2017</v>
      </c>
      <c r="AO5" s="275"/>
      <c r="AP5" s="275" t="str">
        <f>$I$4</f>
        <v>..C9/30/2017</v>
      </c>
      <c r="AQ5" s="288"/>
      <c r="AR5" s="288"/>
      <c r="AS5" s="289"/>
    </row>
    <row r="6" spans="1:58" s="274" customFormat="1" hidden="1">
      <c r="B6" s="274" t="s">
        <v>31</v>
      </c>
      <c r="C6" s="274" t="s">
        <v>255</v>
      </c>
      <c r="D6" s="274" t="s">
        <v>57</v>
      </c>
      <c r="E6" s="272" t="s">
        <v>256</v>
      </c>
      <c r="F6" s="286" t="s">
        <v>92</v>
      </c>
      <c r="G6" s="283"/>
      <c r="H6" s="283">
        <f t="shared" si="1"/>
        <v>2015</v>
      </c>
      <c r="I6" s="274" t="str">
        <f t="shared" si="0"/>
        <v>..C9/30/2015</v>
      </c>
      <c r="J6" s="274" t="s">
        <v>257</v>
      </c>
      <c r="K6" s="273"/>
      <c r="O6" s="288"/>
      <c r="P6" s="288"/>
      <c r="Q6" s="288"/>
      <c r="R6" s="288"/>
      <c r="S6" s="288"/>
      <c r="T6" s="288"/>
      <c r="U6" s="288"/>
      <c r="V6" s="275"/>
      <c r="X6" s="275"/>
      <c r="Z6" s="275"/>
      <c r="AB6" s="275"/>
      <c r="AD6" s="275" t="s">
        <v>99</v>
      </c>
      <c r="AF6" s="275" t="s">
        <v>99</v>
      </c>
      <c r="AH6" s="275"/>
      <c r="AJ6" s="275" t="s">
        <v>99</v>
      </c>
      <c r="AL6" s="275"/>
      <c r="AN6" s="275" t="s">
        <v>99</v>
      </c>
      <c r="AO6" s="275"/>
      <c r="AP6" s="275" t="s">
        <v>99</v>
      </c>
      <c r="AS6" s="271"/>
    </row>
    <row r="7" spans="1:58" s="274" customFormat="1" hidden="1">
      <c r="B7" s="274" t="s">
        <v>31</v>
      </c>
      <c r="C7" s="274" t="s">
        <v>65</v>
      </c>
      <c r="D7" s="274" t="s">
        <v>60</v>
      </c>
      <c r="E7" s="272" t="s">
        <v>258</v>
      </c>
      <c r="F7" s="294">
        <v>1</v>
      </c>
      <c r="G7" s="283"/>
      <c r="H7" s="283">
        <f t="shared" si="1"/>
        <v>2014</v>
      </c>
      <c r="I7" s="274" t="str">
        <f t="shared" si="0"/>
        <v>..C9/30/2014</v>
      </c>
      <c r="J7" s="274" t="s">
        <v>247</v>
      </c>
      <c r="K7" s="273"/>
      <c r="V7" s="275"/>
      <c r="X7" s="275"/>
      <c r="Z7" s="275"/>
      <c r="AB7" s="275"/>
      <c r="AD7" s="275" t="s">
        <v>260</v>
      </c>
      <c r="AF7" s="275" t="s">
        <v>260</v>
      </c>
      <c r="AH7" s="275"/>
      <c r="AN7" s="275" t="s">
        <v>260</v>
      </c>
      <c r="AO7" s="275"/>
      <c r="AP7" s="275" t="s">
        <v>260</v>
      </c>
      <c r="AS7" s="271"/>
    </row>
    <row r="8" spans="1:58" s="274" customFormat="1" hidden="1">
      <c r="B8" s="274" t="s">
        <v>31</v>
      </c>
      <c r="C8" s="274" t="s">
        <v>261</v>
      </c>
      <c r="D8" s="274" t="s">
        <v>99</v>
      </c>
      <c r="E8" s="272" t="s">
        <v>262</v>
      </c>
      <c r="F8" s="294">
        <v>1</v>
      </c>
      <c r="G8" s="283"/>
      <c r="H8" s="283">
        <f t="shared" si="1"/>
        <v>2013</v>
      </c>
      <c r="I8" s="274" t="str">
        <f t="shared" si="0"/>
        <v>..C9/30/2013</v>
      </c>
      <c r="K8" s="273"/>
      <c r="P8" s="296"/>
      <c r="Q8" s="296"/>
      <c r="V8" s="275"/>
      <c r="X8" s="275"/>
      <c r="Z8" s="275"/>
      <c r="AB8" s="275"/>
      <c r="AD8" s="275" t="str">
        <f>RIGHT(AD2,4)&amp;"BUDA"</f>
        <v>2015BUDA</v>
      </c>
      <c r="AF8" s="275" t="str">
        <f>RIGHT(AF2,4)&amp;"BUDA"</f>
        <v>2016BUDA</v>
      </c>
      <c r="AH8" s="275"/>
      <c r="AS8" s="271"/>
    </row>
    <row r="9" spans="1:58" s="274" customFormat="1" hidden="1">
      <c r="B9" s="274" t="s">
        <v>31</v>
      </c>
      <c r="C9" s="274" t="s">
        <v>263</v>
      </c>
      <c r="D9" s="274" t="s">
        <v>59</v>
      </c>
      <c r="E9" s="272" t="s">
        <v>264</v>
      </c>
      <c r="F9" s="286" t="s">
        <v>92</v>
      </c>
      <c r="G9" s="283"/>
      <c r="H9" s="283">
        <f t="shared" si="1"/>
        <v>2012</v>
      </c>
      <c r="I9" s="274" t="str">
        <f t="shared" si="0"/>
        <v>..C9/30/2012</v>
      </c>
      <c r="K9" s="273"/>
      <c r="P9" s="296"/>
      <c r="Q9" s="296"/>
      <c r="AS9" s="271"/>
    </row>
    <row r="10" spans="1:58" s="274" customFormat="1" hidden="1">
      <c r="B10" s="274" t="s">
        <v>31</v>
      </c>
      <c r="C10" s="34" t="s">
        <v>265</v>
      </c>
      <c r="D10" s="274" t="s">
        <v>135</v>
      </c>
      <c r="E10" s="272" t="s">
        <v>266</v>
      </c>
      <c r="F10" s="286" t="s">
        <v>92</v>
      </c>
      <c r="G10" s="283"/>
      <c r="H10" s="283">
        <f t="shared" si="1"/>
        <v>2011</v>
      </c>
      <c r="I10" s="274" t="str">
        <f t="shared" si="0"/>
        <v>..C9/30/2011</v>
      </c>
      <c r="K10" s="273"/>
      <c r="P10" s="296"/>
      <c r="Q10" s="296"/>
      <c r="AS10" s="271"/>
    </row>
    <row r="11" spans="1:58" s="274" customFormat="1" hidden="1">
      <c r="B11" s="274" t="s">
        <v>31</v>
      </c>
      <c r="C11" s="34" t="s">
        <v>267</v>
      </c>
      <c r="D11" s="274" t="s">
        <v>136</v>
      </c>
      <c r="E11" s="272" t="s">
        <v>268</v>
      </c>
      <c r="F11" s="286" t="s">
        <v>91</v>
      </c>
      <c r="G11" s="283"/>
      <c r="H11" s="283" t="e">
        <f>RIGHT(I11,4)</f>
        <v>#VALUE!</v>
      </c>
      <c r="I11" s="274" t="e">
        <f>"..C9/30/"&amp;IF(MONTH(F5)&lt;10,YEAR(F5),YEAR(F5)+1)</f>
        <v>#VALUE!</v>
      </c>
      <c r="K11" s="273"/>
      <c r="P11" s="296"/>
      <c r="Q11" s="296"/>
      <c r="AS11" s="271"/>
    </row>
    <row r="12" spans="1:58" s="274" customFormat="1" ht="13.5" hidden="1">
      <c r="B12" s="274" t="s">
        <v>31</v>
      </c>
      <c r="E12" s="272" t="s">
        <v>269</v>
      </c>
      <c r="F12" s="286" t="s">
        <v>99</v>
      </c>
      <c r="G12" s="283"/>
      <c r="H12" s="283"/>
      <c r="J12" s="297" t="s">
        <v>106</v>
      </c>
      <c r="K12" s="273"/>
      <c r="P12" s="296"/>
      <c r="Q12" s="296"/>
      <c r="AS12" s="271"/>
    </row>
    <row r="13" spans="1:58" s="274" customFormat="1" ht="13.5" hidden="1">
      <c r="B13" s="274" t="s">
        <v>31</v>
      </c>
      <c r="E13" s="272" t="s">
        <v>270</v>
      </c>
      <c r="F13" s="286" t="s">
        <v>91</v>
      </c>
      <c r="G13" s="283"/>
      <c r="H13" s="283"/>
      <c r="J13" s="298" t="s">
        <v>271</v>
      </c>
      <c r="K13" s="273"/>
      <c r="P13" s="296"/>
      <c r="Q13" s="296"/>
      <c r="AS13" s="271"/>
    </row>
    <row r="14" spans="1:58" s="274" customFormat="1" hidden="1">
      <c r="B14" s="274" t="s">
        <v>31</v>
      </c>
      <c r="E14" s="272" t="s">
        <v>97</v>
      </c>
      <c r="F14" s="286" t="s">
        <v>92</v>
      </c>
      <c r="G14" s="283"/>
      <c r="H14" s="283"/>
      <c r="K14" s="273"/>
      <c r="P14" s="296"/>
      <c r="Q14" s="296"/>
      <c r="AS14" s="271"/>
    </row>
    <row r="15" spans="1:58" s="274" customFormat="1" hidden="1">
      <c r="B15" s="274" t="s">
        <v>31</v>
      </c>
      <c r="E15" s="272" t="s">
        <v>272</v>
      </c>
      <c r="F15" s="286" t="s">
        <v>92</v>
      </c>
      <c r="G15" s="283"/>
      <c r="H15" s="283"/>
      <c r="K15" s="273"/>
      <c r="P15" s="296"/>
      <c r="Q15" s="296"/>
      <c r="AS15" s="271"/>
    </row>
    <row r="16" spans="1:58" s="274" customFormat="1" hidden="1">
      <c r="B16" s="274" t="s">
        <v>31</v>
      </c>
      <c r="E16" s="272" t="s">
        <v>102</v>
      </c>
      <c r="F16" s="286" t="s">
        <v>92</v>
      </c>
      <c r="G16" s="283"/>
      <c r="H16" s="283"/>
      <c r="K16" s="273"/>
      <c r="P16" s="296"/>
      <c r="Q16" s="296"/>
      <c r="AS16" s="271"/>
    </row>
    <row r="17" spans="1:45" s="274" customFormat="1" hidden="1">
      <c r="B17" s="274" t="s">
        <v>31</v>
      </c>
      <c r="E17" s="272" t="s">
        <v>65</v>
      </c>
      <c r="F17" s="300" t="str">
        <f>"203"</f>
        <v>203</v>
      </c>
      <c r="G17" s="272"/>
      <c r="H17" s="272"/>
      <c r="K17" s="273"/>
      <c r="P17" s="296"/>
      <c r="Q17" s="296"/>
      <c r="AS17" s="271"/>
    </row>
    <row r="18" spans="1:45" s="274" customFormat="1" hidden="1">
      <c r="B18" s="274" t="s">
        <v>31</v>
      </c>
      <c r="E18" s="272"/>
      <c r="F18" s="272"/>
      <c r="G18" s="272"/>
      <c r="H18" s="272"/>
      <c r="K18" s="273"/>
      <c r="P18" s="296"/>
      <c r="Q18" s="296"/>
      <c r="AS18" s="271"/>
    </row>
    <row r="19" spans="1:45" s="274" customFormat="1" hidden="1">
      <c r="B19" s="274" t="s">
        <v>31</v>
      </c>
      <c r="E19" s="301" t="s">
        <v>273</v>
      </c>
      <c r="F19" s="272"/>
      <c r="G19" s="272"/>
      <c r="H19" s="302" t="s">
        <v>274</v>
      </c>
      <c r="K19" s="273"/>
      <c r="O19" s="296"/>
      <c r="P19" s="296"/>
      <c r="Q19" s="296"/>
      <c r="AS19" s="271"/>
    </row>
    <row r="20" spans="1:45" s="274" customFormat="1" hidden="1">
      <c r="B20" s="274" t="s">
        <v>31</v>
      </c>
      <c r="E20" s="272" t="s">
        <v>275</v>
      </c>
      <c r="F20" s="272"/>
      <c r="G20" s="272"/>
      <c r="H20" s="272" t="s">
        <v>528</v>
      </c>
      <c r="K20" s="273"/>
      <c r="O20" s="296"/>
      <c r="P20" s="296"/>
      <c r="Q20" s="296"/>
      <c r="AS20" s="271"/>
    </row>
    <row r="21" spans="1:45" s="274" customFormat="1" hidden="1">
      <c r="B21" s="274" t="s">
        <v>31</v>
      </c>
      <c r="E21" s="272" t="s">
        <v>276</v>
      </c>
      <c r="F21" s="272"/>
      <c r="G21" s="272"/>
      <c r="H21" s="272" t="s">
        <v>78</v>
      </c>
      <c r="K21" s="273"/>
      <c r="O21" s="296"/>
      <c r="P21" s="296"/>
      <c r="Q21" s="296"/>
      <c r="AS21" s="271"/>
    </row>
    <row r="22" spans="1:45" s="274" customFormat="1" hidden="1">
      <c r="B22" s="274" t="s">
        <v>31</v>
      </c>
      <c r="E22" s="272" t="s">
        <v>65</v>
      </c>
      <c r="F22" s="275" t="str">
        <f>IF(F17="",0,F17)</f>
        <v>203</v>
      </c>
      <c r="G22" s="272"/>
      <c r="H22" s="303" t="str">
        <f>IF(F12="*",H20,H21)</f>
        <v>2014 Debt Service Fund</v>
      </c>
      <c r="K22" s="273"/>
      <c r="O22" s="296"/>
      <c r="P22" s="296"/>
      <c r="Q22" s="296"/>
      <c r="AS22" s="271"/>
    </row>
    <row r="23" spans="1:45" s="274" customFormat="1" hidden="1">
      <c r="B23" s="274" t="s">
        <v>31</v>
      </c>
      <c r="E23" s="272" t="s">
        <v>277</v>
      </c>
      <c r="F23" s="272"/>
      <c r="G23" s="272"/>
      <c r="H23" s="272"/>
      <c r="K23" s="273"/>
      <c r="AS23" s="304"/>
    </row>
    <row r="24" spans="1:45" s="274" customFormat="1" hidden="1">
      <c r="A24" s="274" t="s">
        <v>235</v>
      </c>
      <c r="B24" s="274" t="s">
        <v>31</v>
      </c>
      <c r="E24" s="272" t="s">
        <v>278</v>
      </c>
      <c r="F24" s="272"/>
      <c r="G24" s="277" t="s">
        <v>279</v>
      </c>
      <c r="H24" s="272"/>
      <c r="K24" s="273"/>
      <c r="T24" s="275"/>
      <c r="AJ24" s="277" t="s">
        <v>280</v>
      </c>
      <c r="AP24" s="277" t="s">
        <v>281</v>
      </c>
      <c r="AS24" s="277" t="s">
        <v>282</v>
      </c>
    </row>
    <row r="25" spans="1:45" s="274" customFormat="1" ht="15.75">
      <c r="B25" s="274" t="s">
        <v>62</v>
      </c>
      <c r="E25" s="272"/>
      <c r="F25" s="272"/>
      <c r="G25" s="277"/>
      <c r="H25" s="272"/>
      <c r="K25" s="273"/>
      <c r="O25" s="305" t="s">
        <v>283</v>
      </c>
      <c r="P25" s="683"/>
      <c r="Q25" s="307"/>
      <c r="R25" s="1418" t="str">
        <f>IF(ISERROR(IF(AND(VALUE($F$22)&gt;399,VALUE($F$22)&lt;500),$J$13,$J$12)),"",IF(AND(VALUE($F$22)&gt;399,VALUE($F$22)&lt;500),$J$13,$J$12))</f>
        <v>Summary of Revenues, Expenditures and Changes in Fund Balances</v>
      </c>
      <c r="S25" s="1418"/>
      <c r="T25" s="1418"/>
      <c r="U25" s="1418"/>
      <c r="V25" s="1418"/>
      <c r="W25" s="1418"/>
      <c r="X25" s="1418"/>
      <c r="Y25" s="1418"/>
      <c r="Z25" s="1418"/>
      <c r="AA25" s="1418"/>
      <c r="AB25" s="1418"/>
      <c r="AC25" s="1418"/>
      <c r="AD25" s="1418"/>
      <c r="AE25" s="1418"/>
      <c r="AF25" s="1418"/>
      <c r="AG25" s="1418"/>
      <c r="AH25" s="1418"/>
      <c r="AI25" s="1418"/>
      <c r="AJ25" s="1418"/>
      <c r="AK25" s="1418"/>
      <c r="AL25" s="1418"/>
      <c r="AM25" s="1418"/>
      <c r="AN25" s="1418"/>
      <c r="AO25" s="1418"/>
      <c r="AP25" s="1418"/>
      <c r="AQ25" s="306"/>
      <c r="AR25" s="306"/>
      <c r="AS25" s="308"/>
    </row>
    <row r="26" spans="1:45" s="274" customFormat="1" ht="15.75">
      <c r="E26" s="272"/>
      <c r="F26" s="272"/>
      <c r="G26" s="277"/>
      <c r="H26" s="272"/>
      <c r="K26" s="273"/>
      <c r="O26" s="305" t="s">
        <v>284</v>
      </c>
      <c r="P26" s="309"/>
      <c r="Q26" s="310"/>
      <c r="R26" s="1419" t="str">
        <f>H22</f>
        <v>2014 Debt Service Fund</v>
      </c>
      <c r="S26" s="1419"/>
      <c r="T26" s="1419"/>
      <c r="U26" s="1419"/>
      <c r="V26" s="1419"/>
      <c r="W26" s="1419"/>
      <c r="X26" s="1419"/>
      <c r="Y26" s="1419"/>
      <c r="Z26" s="1419"/>
      <c r="AA26" s="1419"/>
      <c r="AB26" s="1419"/>
      <c r="AC26" s="1419"/>
      <c r="AD26" s="1419"/>
      <c r="AE26" s="1419"/>
      <c r="AF26" s="1419"/>
      <c r="AG26" s="1419"/>
      <c r="AH26" s="1419"/>
      <c r="AI26" s="1419"/>
      <c r="AJ26" s="1419"/>
      <c r="AK26" s="1419"/>
      <c r="AL26" s="1419"/>
      <c r="AM26" s="1419"/>
      <c r="AN26" s="1419"/>
      <c r="AO26" s="1419"/>
      <c r="AP26" s="1419"/>
      <c r="AQ26" s="306"/>
      <c r="AR26" s="306"/>
      <c r="AS26" s="308"/>
    </row>
    <row r="27" spans="1:45" s="274" customFormat="1" ht="15.75">
      <c r="B27" s="274" t="s">
        <v>62</v>
      </c>
      <c r="E27" s="272"/>
      <c r="F27" s="272"/>
      <c r="G27" s="277"/>
      <c r="H27" s="272"/>
      <c r="K27" s="273"/>
      <c r="O27" s="305" t="s">
        <v>285</v>
      </c>
      <c r="P27" s="309"/>
      <c r="Q27" s="310"/>
      <c r="R27" s="1419" t="str">
        <f>"Fiscal Year "&amp;F4&amp;" Proposed Budget"</f>
        <v>Fiscal Year 2017 Proposed Budget</v>
      </c>
      <c r="S27" s="1419"/>
      <c r="T27" s="1419"/>
      <c r="U27" s="1419"/>
      <c r="V27" s="1419"/>
      <c r="W27" s="1419"/>
      <c r="X27" s="1419"/>
      <c r="Y27" s="1419"/>
      <c r="Z27" s="1419"/>
      <c r="AA27" s="1419"/>
      <c r="AB27" s="1419"/>
      <c r="AC27" s="1419"/>
      <c r="AD27" s="1419"/>
      <c r="AE27" s="1419"/>
      <c r="AF27" s="1419"/>
      <c r="AG27" s="1419"/>
      <c r="AH27" s="1419"/>
      <c r="AI27" s="1419"/>
      <c r="AJ27" s="1419"/>
      <c r="AK27" s="1419"/>
      <c r="AL27" s="1419"/>
      <c r="AM27" s="1419"/>
      <c r="AN27" s="1419"/>
      <c r="AO27" s="1419"/>
      <c r="AP27" s="1419"/>
      <c r="AQ27" s="306"/>
      <c r="AR27" s="306"/>
      <c r="AS27" s="453"/>
    </row>
    <row r="28" spans="1:45" ht="7.5" hidden="1" customHeight="1">
      <c r="E28" s="271"/>
      <c r="F28" s="271"/>
      <c r="G28" s="277"/>
      <c r="H28" s="271"/>
      <c r="K28" s="437"/>
      <c r="L28" s="271"/>
      <c r="M28" s="271"/>
      <c r="P28" s="684"/>
      <c r="Q28" s="684"/>
      <c r="R28" s="684"/>
      <c r="S28" s="684"/>
      <c r="T28" s="684"/>
      <c r="U28" s="684"/>
      <c r="V28" s="684"/>
      <c r="W28" s="684"/>
      <c r="X28" s="684"/>
      <c r="Y28" s="684"/>
      <c r="Z28" s="684"/>
      <c r="AA28" s="684"/>
      <c r="AB28" s="684"/>
      <c r="AC28" s="684"/>
      <c r="AD28" s="684"/>
      <c r="AE28" s="684"/>
      <c r="AF28" s="684"/>
      <c r="AG28" s="684"/>
      <c r="AH28" s="684"/>
      <c r="AI28" s="684"/>
      <c r="AJ28" s="684"/>
      <c r="AK28" s="684"/>
      <c r="AL28" s="684"/>
      <c r="AM28" s="684"/>
      <c r="AN28" s="684"/>
      <c r="AO28" s="684"/>
      <c r="AP28" s="684"/>
      <c r="AQ28" s="308"/>
      <c r="AR28" s="308"/>
      <c r="AS28" s="453"/>
    </row>
    <row r="29" spans="1:45" s="274" customFormat="1" ht="20.100000000000001" hidden="1" customHeight="1">
      <c r="B29" s="274" t="str">
        <f>IF(F15="yes","show","Hide")</f>
        <v>Hide</v>
      </c>
      <c r="E29" s="272"/>
      <c r="F29" s="272"/>
      <c r="G29" s="277"/>
      <c r="H29" s="272"/>
      <c r="K29" s="273"/>
      <c r="P29" s="1420" t="s">
        <v>286</v>
      </c>
      <c r="Q29" s="1420"/>
      <c r="R29" s="1420"/>
      <c r="S29" s="1420"/>
      <c r="T29" s="1420"/>
      <c r="U29" s="1420"/>
      <c r="V29" s="1420"/>
      <c r="W29" s="1420"/>
      <c r="X29" s="1420"/>
      <c r="Y29" s="1420"/>
      <c r="Z29" s="1420"/>
      <c r="AA29" s="1420"/>
      <c r="AB29" s="1420"/>
      <c r="AC29" s="1420"/>
      <c r="AD29" s="1420"/>
      <c r="AE29" s="1420"/>
      <c r="AF29" s="1420"/>
      <c r="AG29" s="1420"/>
      <c r="AH29" s="1420"/>
      <c r="AI29" s="1420"/>
      <c r="AJ29" s="1420"/>
      <c r="AK29" s="1420"/>
      <c r="AL29" s="1420"/>
      <c r="AM29" s="1420"/>
      <c r="AN29" s="1420"/>
      <c r="AO29" s="1420"/>
      <c r="AP29" s="1420"/>
      <c r="AQ29" s="306"/>
      <c r="AR29" s="306"/>
      <c r="AS29" s="453"/>
    </row>
    <row r="30" spans="1:45" s="274" customFormat="1" ht="15" hidden="1" customHeight="1">
      <c r="B30" s="274" t="str">
        <f>B29</f>
        <v>Hide</v>
      </c>
      <c r="E30" s="272"/>
      <c r="F30" s="272"/>
      <c r="G30" s="272"/>
      <c r="H30" s="272"/>
      <c r="K30" s="273"/>
      <c r="P30" s="306"/>
      <c r="Q30" s="306"/>
      <c r="R30" s="306"/>
      <c r="S30" s="306"/>
      <c r="T30" s="31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13"/>
    </row>
    <row r="31" spans="1:45" ht="15" customHeight="1">
      <c r="B31" s="274" t="s">
        <v>62</v>
      </c>
      <c r="O31" s="314"/>
      <c r="P31" s="315"/>
      <c r="Q31" s="315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16" t="str">
        <f>IF(AD148=0,"ADOPTED","AMENDED")</f>
        <v>ADOPTED</v>
      </c>
      <c r="AE31" s="308"/>
      <c r="AF31" s="316" t="str">
        <f>IF(AF148=0,"ADOPTED","AMENDED")</f>
        <v>ADOPTED</v>
      </c>
      <c r="AG31" s="316"/>
      <c r="AH31" s="317" t="s">
        <v>287</v>
      </c>
      <c r="AI31" s="318"/>
      <c r="AJ31" s="317" t="s">
        <v>288</v>
      </c>
      <c r="AK31" s="318"/>
      <c r="AL31" s="317" t="s">
        <v>289</v>
      </c>
      <c r="AM31" s="319"/>
      <c r="AN31" s="316" t="s">
        <v>290</v>
      </c>
      <c r="AO31" s="316"/>
      <c r="AP31" s="316" t="s">
        <v>291</v>
      </c>
      <c r="AQ31" s="316"/>
      <c r="AR31" s="307"/>
      <c r="AS31" s="453"/>
    </row>
    <row r="32" spans="1:45" ht="15" customHeight="1">
      <c r="B32" s="274" t="s">
        <v>62</v>
      </c>
      <c r="O32" s="320"/>
      <c r="P32" s="356" t="s">
        <v>292</v>
      </c>
      <c r="Q32" s="320"/>
      <c r="R32" s="308"/>
      <c r="S32" s="308"/>
      <c r="T32" s="316" t="s">
        <v>287</v>
      </c>
      <c r="U32" s="308"/>
      <c r="V32" s="316" t="s">
        <v>287</v>
      </c>
      <c r="W32" s="316"/>
      <c r="X32" s="316" t="s">
        <v>287</v>
      </c>
      <c r="Y32" s="316"/>
      <c r="Z32" s="316" t="s">
        <v>287</v>
      </c>
      <c r="AA32" s="316"/>
      <c r="AB32" s="316" t="s">
        <v>287</v>
      </c>
      <c r="AC32" s="316"/>
      <c r="AD32" s="316" t="s">
        <v>293</v>
      </c>
      <c r="AE32" s="308"/>
      <c r="AF32" s="316" t="s">
        <v>293</v>
      </c>
      <c r="AG32" s="316"/>
      <c r="AH32" s="316" t="s">
        <v>294</v>
      </c>
      <c r="AI32" s="316"/>
      <c r="AJ32" s="685" t="str">
        <f>'001'!AJ32</f>
        <v>June thru</v>
      </c>
      <c r="AK32" s="316"/>
      <c r="AL32" s="316" t="s">
        <v>288</v>
      </c>
      <c r="AM32" s="322"/>
      <c r="AN32" s="316" t="s">
        <v>296</v>
      </c>
      <c r="AO32" s="316"/>
      <c r="AP32" s="316" t="s">
        <v>293</v>
      </c>
      <c r="AQ32" s="316"/>
      <c r="AR32" s="307"/>
      <c r="AS32" s="453"/>
    </row>
    <row r="33" spans="1:58" ht="15" customHeight="1">
      <c r="A33" s="274" t="s">
        <v>297</v>
      </c>
      <c r="B33" s="274" t="s">
        <v>62</v>
      </c>
      <c r="L33" s="323" t="s">
        <v>65</v>
      </c>
      <c r="M33" s="323" t="s">
        <v>298</v>
      </c>
      <c r="N33" s="324" t="s">
        <v>255</v>
      </c>
      <c r="O33" s="325" t="s">
        <v>253</v>
      </c>
      <c r="P33" s="517" t="s">
        <v>299</v>
      </c>
      <c r="Q33" s="320"/>
      <c r="R33" s="317" t="s">
        <v>300</v>
      </c>
      <c r="S33" s="326"/>
      <c r="T33" s="317" t="s">
        <v>301</v>
      </c>
      <c r="U33" s="326"/>
      <c r="V33" s="317" t="str">
        <f>"FY "&amp;RIGHT(V2,4)</f>
        <v>FY 2012</v>
      </c>
      <c r="W33" s="327"/>
      <c r="X33" s="317" t="str">
        <f>"FY "&amp;RIGHT(X2,4)</f>
        <v>FY 2013</v>
      </c>
      <c r="Y33" s="327"/>
      <c r="Z33" s="317" t="str">
        <f>"FY "&amp;RIGHT(Z2,4)</f>
        <v>FY 2014</v>
      </c>
      <c r="AA33" s="327"/>
      <c r="AB33" s="317" t="str">
        <f>'001'!AB33</f>
        <v>FY - 2015</v>
      </c>
      <c r="AC33" s="327"/>
      <c r="AD33" s="317" t="str">
        <f>'001'!AD33</f>
        <v>FY - 2015</v>
      </c>
      <c r="AE33" s="315"/>
      <c r="AF33" s="317" t="str">
        <f>'001'!AF33</f>
        <v>FY - 2016</v>
      </c>
      <c r="AG33" s="328"/>
      <c r="AH33" s="524" t="str">
        <f>'001'!AH33</f>
        <v>May – 2016</v>
      </c>
      <c r="AI33" s="523"/>
      <c r="AJ33" s="524" t="str">
        <f>'001'!AJ33</f>
        <v>EoFY – 2016</v>
      </c>
      <c r="AK33" s="328"/>
      <c r="AL33" s="317" t="str">
        <f>'001'!AL33</f>
        <v>FY-2016</v>
      </c>
      <c r="AM33" s="328"/>
      <c r="AN33" s="317" t="str">
        <f>'001'!AN33</f>
        <v>FY - 2017</v>
      </c>
      <c r="AO33" s="326"/>
      <c r="AP33" s="317" t="str">
        <f>'001'!AP33</f>
        <v>FY - 2017</v>
      </c>
      <c r="AQ33" s="326"/>
      <c r="AR33" s="330"/>
      <c r="AS33" s="331" t="s">
        <v>305</v>
      </c>
    </row>
    <row r="34" spans="1:58" ht="9.9499999999999993" customHeight="1">
      <c r="B34" s="271" t="s">
        <v>62</v>
      </c>
      <c r="I34" s="413"/>
      <c r="N34" s="274"/>
      <c r="P34" s="310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402"/>
      <c r="AC34" s="402"/>
      <c r="AD34" s="402"/>
      <c r="AE34" s="402"/>
      <c r="AF34" s="402"/>
      <c r="AG34" s="402"/>
      <c r="AH34" s="402"/>
      <c r="AI34" s="402"/>
      <c r="AJ34" s="402"/>
      <c r="AK34" s="402"/>
      <c r="AL34" s="402"/>
      <c r="AM34" s="402"/>
      <c r="AN34" s="402"/>
      <c r="AO34" s="383"/>
      <c r="AP34" s="402"/>
      <c r="AQ34" s="308"/>
      <c r="AR34" s="308"/>
      <c r="AS34" s="403"/>
    </row>
    <row r="35" spans="1:58" ht="20.100000000000001" hidden="1" customHeight="1">
      <c r="B35" s="274" t="s">
        <v>62</v>
      </c>
      <c r="N35" s="332"/>
      <c r="O35" s="335" t="s">
        <v>306</v>
      </c>
      <c r="P35" s="1433" t="s">
        <v>307</v>
      </c>
      <c r="Q35" s="1433"/>
      <c r="R35" s="1433"/>
      <c r="S35" s="1433"/>
      <c r="T35" s="1433"/>
      <c r="U35" s="1433"/>
      <c r="V35" s="1433"/>
      <c r="W35" s="1433"/>
      <c r="X35" s="1433"/>
      <c r="Y35" s="1433"/>
      <c r="Z35" s="1433"/>
      <c r="AA35" s="1433"/>
      <c r="AB35" s="1433"/>
      <c r="AC35" s="1433"/>
      <c r="AD35" s="1433"/>
      <c r="AE35" s="1433"/>
      <c r="AF35" s="1433"/>
      <c r="AG35" s="1433"/>
      <c r="AH35" s="1433"/>
      <c r="AI35" s="1433"/>
      <c r="AJ35" s="1433"/>
      <c r="AK35" s="1433"/>
      <c r="AL35" s="1433"/>
      <c r="AM35" s="1433"/>
      <c r="AN35" s="1433"/>
      <c r="AO35" s="1433"/>
      <c r="AP35" s="1433"/>
      <c r="AQ35" s="326"/>
      <c r="AR35" s="330"/>
      <c r="AS35" s="334"/>
    </row>
    <row r="36" spans="1:58" ht="15" customHeight="1">
      <c r="B36" s="274" t="s">
        <v>62</v>
      </c>
      <c r="O36" s="314"/>
      <c r="P36" s="315"/>
      <c r="Q36" s="307"/>
      <c r="R36" s="1422" t="str">
        <f>IF(R142=0,IF(AND($F$22&gt;"399",$F$22&lt;"500"),"OPERATING REVENUES","REVENUES"),"THIS REPORT HAS AN ERROR, THIS REPORT HAS AN ERROR, THIS REPORT HAS AN ERROR")</f>
        <v>REVENUES</v>
      </c>
      <c r="S36" s="1422"/>
      <c r="T36" s="1422"/>
      <c r="U36" s="1422"/>
      <c r="V36" s="1422"/>
      <c r="W36" s="1422"/>
      <c r="X36" s="1422"/>
      <c r="Y36" s="1422"/>
      <c r="Z36" s="1422"/>
      <c r="AA36" s="1422"/>
      <c r="AB36" s="1422"/>
      <c r="AC36" s="1422"/>
      <c r="AD36" s="1422"/>
      <c r="AE36" s="1422"/>
      <c r="AF36" s="1422"/>
      <c r="AG36" s="1422"/>
      <c r="AH36" s="1422"/>
      <c r="AI36" s="1422"/>
      <c r="AJ36" s="1422"/>
      <c r="AK36" s="1422"/>
      <c r="AL36" s="1422"/>
      <c r="AM36" s="1422"/>
      <c r="AN36" s="1422"/>
      <c r="AO36" s="1422"/>
      <c r="AP36" s="1422"/>
      <c r="AQ36" s="326"/>
      <c r="AR36" s="330"/>
      <c r="AS36" s="334"/>
    </row>
    <row r="37" spans="1:58" ht="0.95" customHeight="1">
      <c r="B37" s="274" t="s">
        <v>62</v>
      </c>
      <c r="O37" s="314"/>
      <c r="P37" s="315"/>
      <c r="Q37" s="307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26"/>
      <c r="AG37" s="328"/>
      <c r="AH37" s="326"/>
      <c r="AI37" s="328"/>
      <c r="AJ37" s="326"/>
      <c r="AK37" s="328"/>
      <c r="AL37" s="326"/>
      <c r="AM37" s="328"/>
      <c r="AN37" s="326"/>
      <c r="AO37" s="326"/>
      <c r="AP37" s="326"/>
      <c r="AQ37" s="326"/>
      <c r="AR37" s="330"/>
      <c r="AS37" s="334"/>
    </row>
    <row r="38" spans="1:58" ht="15.6" customHeight="1">
      <c r="A38" s="271" t="s">
        <v>236</v>
      </c>
      <c r="B38" s="271" t="s">
        <v>62</v>
      </c>
      <c r="E38" s="336" t="str">
        <f>IF(OR($D$7=0,$F$16="YES"),0,"300001..361000|361002..369999")</f>
        <v>300001..361000|361002..369999</v>
      </c>
      <c r="F38" s="300"/>
      <c r="K38" s="337">
        <v>361001</v>
      </c>
      <c r="L38" s="275" t="str">
        <f t="shared" ref="L38:L42" si="2">$F$22</f>
        <v>203</v>
      </c>
      <c r="M38" s="275" t="str">
        <f t="shared" ref="M38:M42" si="3">$J$7</f>
        <v>10/1/2016..9/30/2017</v>
      </c>
      <c r="N38" s="274" t="str">
        <f t="shared" ref="N38:N42" si="4">$D$6</f>
        <v>HARMONY CDD</v>
      </c>
      <c r="O38" s="275">
        <f>K38</f>
        <v>361001</v>
      </c>
      <c r="P38" s="312">
        <f t="shared" ref="P38:P42" si="5">K38</f>
        <v>361001</v>
      </c>
      <c r="Q38" s="307"/>
      <c r="R38" s="338" t="s">
        <v>308</v>
      </c>
      <c r="S38" s="315"/>
      <c r="T38" s="339">
        <v>224</v>
      </c>
      <c r="U38" s="315"/>
      <c r="V38" s="339">
        <v>0</v>
      </c>
      <c r="W38" s="338"/>
      <c r="X38" s="339">
        <v>0</v>
      </c>
      <c r="Y38" s="338"/>
      <c r="Z38" s="339">
        <v>0</v>
      </c>
      <c r="AA38" s="338"/>
      <c r="AB38" s="340">
        <v>75</v>
      </c>
      <c r="AC38" s="341"/>
      <c r="AD38" s="340">
        <v>0</v>
      </c>
      <c r="AE38" s="342"/>
      <c r="AF38" s="340">
        <v>50</v>
      </c>
      <c r="AG38" s="342"/>
      <c r="AH38" s="340">
        <v>932</v>
      </c>
      <c r="AI38" s="342"/>
      <c r="AJ38" s="343">
        <f>1000-AH38</f>
        <v>68</v>
      </c>
      <c r="AK38" s="342"/>
      <c r="AL38" s="340">
        <f t="shared" ref="AL38:AL42" si="6">IF(ISERROR(AH38+AJ38),0,(AH38+AJ38))</f>
        <v>1000</v>
      </c>
      <c r="AM38" s="340"/>
      <c r="AN38" s="340">
        <v>0</v>
      </c>
      <c r="AO38" s="340"/>
      <c r="AP38" s="343">
        <v>1000</v>
      </c>
      <c r="AQ38" s="344">
        <f t="shared" ref="AQ38:AQ42" si="7">ABS(SUMIF(V38:AP38,"&gt;0")-SUMIF(V38:AP38,"&lt;0"))</f>
        <v>3125</v>
      </c>
      <c r="AR38" s="330"/>
      <c r="AS38" s="345"/>
      <c r="AV38" s="346"/>
    </row>
    <row r="39" spans="1:58" ht="15.6" customHeight="1">
      <c r="A39" s="271" t="s">
        <v>236</v>
      </c>
      <c r="B39" s="271" t="str">
        <f t="shared" ref="B39:B42" si="8">IF(AQ39=0,"Hide","Show")</f>
        <v>Show</v>
      </c>
      <c r="E39" s="347"/>
      <c r="K39" s="337" t="s">
        <v>483</v>
      </c>
      <c r="L39" s="275" t="str">
        <f t="shared" si="2"/>
        <v>203</v>
      </c>
      <c r="M39" s="275" t="str">
        <f t="shared" si="3"/>
        <v>10/1/2016..9/30/2017</v>
      </c>
      <c r="N39" s="274" t="str">
        <f t="shared" si="4"/>
        <v>HARMONY CDD</v>
      </c>
      <c r="O39" s="275" t="str">
        <f t="shared" ref="O39:O42" si="9">IF(K39="","8888888",K39)</f>
        <v>363010</v>
      </c>
      <c r="P39" s="312" t="str">
        <f t="shared" si="5"/>
        <v>363010</v>
      </c>
      <c r="Q39" s="316"/>
      <c r="R39" s="338" t="s">
        <v>314</v>
      </c>
      <c r="S39" s="338"/>
      <c r="T39" s="348">
        <v>942379</v>
      </c>
      <c r="U39" s="338"/>
      <c r="V39" s="348">
        <v>0</v>
      </c>
      <c r="W39" s="349"/>
      <c r="X39" s="348">
        <v>0</v>
      </c>
      <c r="Y39" s="349"/>
      <c r="Z39" s="348">
        <v>0</v>
      </c>
      <c r="AA39" s="349"/>
      <c r="AB39" s="350">
        <v>1065433</v>
      </c>
      <c r="AC39" s="351"/>
      <c r="AD39" s="350">
        <v>0</v>
      </c>
      <c r="AE39" s="352"/>
      <c r="AF39" s="350">
        <v>1207426</v>
      </c>
      <c r="AG39" s="352"/>
      <c r="AH39" s="350">
        <v>1174226</v>
      </c>
      <c r="AI39" s="352"/>
      <c r="AJ39" s="353">
        <f>+AF39-AH39</f>
        <v>33200</v>
      </c>
      <c r="AK39" s="352"/>
      <c r="AL39" s="350">
        <f t="shared" si="6"/>
        <v>1207426</v>
      </c>
      <c r="AM39" s="350"/>
      <c r="AN39" s="354">
        <v>0</v>
      </c>
      <c r="AO39" s="350"/>
      <c r="AP39" s="353">
        <f>'Assess_Rates-Rev1'!AF60</f>
        <v>1176226.7676122477</v>
      </c>
      <c r="AQ39" s="344">
        <f t="shared" si="7"/>
        <v>5863937.7676122477</v>
      </c>
      <c r="AR39" s="308"/>
      <c r="AS39" s="345" t="s">
        <v>529</v>
      </c>
      <c r="AV39" s="346"/>
    </row>
    <row r="40" spans="1:58" ht="15.6" customHeight="1">
      <c r="A40" s="271" t="s">
        <v>311</v>
      </c>
      <c r="B40" s="271" t="str">
        <f t="shared" si="8"/>
        <v>Show</v>
      </c>
      <c r="E40" s="347"/>
      <c r="K40" s="337" t="str">
        <f>"363030"</f>
        <v>363030</v>
      </c>
      <c r="L40" s="275" t="str">
        <f t="shared" si="2"/>
        <v>203</v>
      </c>
      <c r="M40" s="275" t="str">
        <f t="shared" si="3"/>
        <v>10/1/2016..9/30/2017</v>
      </c>
      <c r="N40" s="274" t="str">
        <f t="shared" si="4"/>
        <v>HARMONY CDD</v>
      </c>
      <c r="O40" s="275" t="str">
        <f t="shared" si="9"/>
        <v>363030</v>
      </c>
      <c r="P40" s="312" t="str">
        <f t="shared" si="5"/>
        <v>363030</v>
      </c>
      <c r="Q40" s="316"/>
      <c r="R40" s="338" t="s">
        <v>315</v>
      </c>
      <c r="S40" s="338"/>
      <c r="T40" s="348">
        <v>12338</v>
      </c>
      <c r="U40" s="338"/>
      <c r="V40" s="348">
        <v>0</v>
      </c>
      <c r="W40" s="349"/>
      <c r="X40" s="348">
        <v>0</v>
      </c>
      <c r="Y40" s="349"/>
      <c r="Z40" s="348">
        <v>0</v>
      </c>
      <c r="AA40" s="349"/>
      <c r="AB40" s="350">
        <v>102018</v>
      </c>
      <c r="AC40" s="351"/>
      <c r="AD40" s="350">
        <v>0</v>
      </c>
      <c r="AE40" s="352"/>
      <c r="AF40" s="350">
        <v>0</v>
      </c>
      <c r="AG40" s="352"/>
      <c r="AH40" s="350">
        <v>12338</v>
      </c>
      <c r="AI40" s="352"/>
      <c r="AJ40" s="353">
        <v>0</v>
      </c>
      <c r="AK40" s="352"/>
      <c r="AL40" s="350">
        <f t="shared" si="6"/>
        <v>12338</v>
      </c>
      <c r="AM40" s="350"/>
      <c r="AN40" s="354">
        <v>0</v>
      </c>
      <c r="AO40" s="350"/>
      <c r="AP40" s="353">
        <v>0</v>
      </c>
      <c r="AQ40" s="344">
        <f t="shared" si="7"/>
        <v>126694</v>
      </c>
      <c r="AR40" s="308"/>
      <c r="AS40" s="345" t="s">
        <v>530</v>
      </c>
      <c r="AV40" s="346"/>
    </row>
    <row r="41" spans="1:58" ht="15.6" customHeight="1">
      <c r="A41" s="271" t="s">
        <v>311</v>
      </c>
      <c r="B41" s="271" t="str">
        <f t="shared" si="8"/>
        <v>Show</v>
      </c>
      <c r="E41" s="347"/>
      <c r="K41" s="337" t="str">
        <f>"363040"</f>
        <v>363040</v>
      </c>
      <c r="L41" s="275" t="str">
        <f t="shared" si="2"/>
        <v>203</v>
      </c>
      <c r="M41" s="275" t="str">
        <f t="shared" si="3"/>
        <v>10/1/2016..9/30/2017</v>
      </c>
      <c r="N41" s="274" t="str">
        <f t="shared" si="4"/>
        <v>HARMONY CDD</v>
      </c>
      <c r="O41" s="275" t="str">
        <f t="shared" si="9"/>
        <v>363040</v>
      </c>
      <c r="P41" s="312" t="str">
        <f t="shared" si="5"/>
        <v>363040</v>
      </c>
      <c r="Q41" s="316"/>
      <c r="R41" s="338" t="s">
        <v>316</v>
      </c>
      <c r="S41" s="338"/>
      <c r="T41" s="348">
        <v>76436</v>
      </c>
      <c r="U41" s="338"/>
      <c r="V41" s="348">
        <v>0</v>
      </c>
      <c r="W41" s="349"/>
      <c r="X41" s="348">
        <v>0</v>
      </c>
      <c r="Y41" s="349"/>
      <c r="Z41" s="348">
        <v>0</v>
      </c>
      <c r="AA41" s="349"/>
      <c r="AB41" s="350">
        <v>255886</v>
      </c>
      <c r="AC41" s="351"/>
      <c r="AD41" s="350">
        <v>0</v>
      </c>
      <c r="AE41" s="352"/>
      <c r="AF41" s="350">
        <v>63546</v>
      </c>
      <c r="AG41" s="352"/>
      <c r="AH41" s="350">
        <v>114564</v>
      </c>
      <c r="AI41" s="352"/>
      <c r="AJ41" s="353">
        <v>0</v>
      </c>
      <c r="AK41" s="352"/>
      <c r="AL41" s="350">
        <f t="shared" si="6"/>
        <v>114564</v>
      </c>
      <c r="AM41" s="350"/>
      <c r="AN41" s="354">
        <v>0</v>
      </c>
      <c r="AO41" s="350"/>
      <c r="AP41" s="355">
        <f>'Assess_Rates-Rev1'!AF61</f>
        <v>86844.287682926835</v>
      </c>
      <c r="AQ41" s="344">
        <f t="shared" si="7"/>
        <v>635404.28768292686</v>
      </c>
      <c r="AR41" s="308"/>
      <c r="AS41" s="345"/>
      <c r="AV41" s="346"/>
    </row>
    <row r="42" spans="1:58" ht="15.6" customHeight="1">
      <c r="A42" s="271" t="s">
        <v>311</v>
      </c>
      <c r="B42" s="271" t="str">
        <f t="shared" si="8"/>
        <v>Show</v>
      </c>
      <c r="E42" s="347"/>
      <c r="K42" s="337" t="str">
        <f>"363090"</f>
        <v>363090</v>
      </c>
      <c r="L42" s="275" t="str">
        <f t="shared" si="2"/>
        <v>203</v>
      </c>
      <c r="M42" s="275" t="str">
        <f t="shared" si="3"/>
        <v>10/1/2016..9/30/2017</v>
      </c>
      <c r="N42" s="274" t="str">
        <f t="shared" si="4"/>
        <v>HARMONY CDD</v>
      </c>
      <c r="O42" s="275" t="str">
        <f t="shared" si="9"/>
        <v>363090</v>
      </c>
      <c r="P42" s="312" t="str">
        <f t="shared" si="5"/>
        <v>363090</v>
      </c>
      <c r="Q42" s="316"/>
      <c r="R42" s="338" t="s">
        <v>318</v>
      </c>
      <c r="S42" s="338"/>
      <c r="T42" s="348">
        <v>-35607</v>
      </c>
      <c r="U42" s="338"/>
      <c r="V42" s="348">
        <v>0</v>
      </c>
      <c r="W42" s="349"/>
      <c r="X42" s="348">
        <v>0</v>
      </c>
      <c r="Y42" s="349"/>
      <c r="Z42" s="348">
        <v>0</v>
      </c>
      <c r="AA42" s="349"/>
      <c r="AB42" s="350">
        <v>-28827</v>
      </c>
      <c r="AC42" s="351"/>
      <c r="AD42" s="350">
        <v>0</v>
      </c>
      <c r="AE42" s="352"/>
      <c r="AF42" s="350">
        <v>-48297</v>
      </c>
      <c r="AG42" s="352"/>
      <c r="AH42" s="350">
        <v>-35565</v>
      </c>
      <c r="AI42" s="352"/>
      <c r="AJ42" s="353">
        <v>0</v>
      </c>
      <c r="AK42" s="352"/>
      <c r="AL42" s="350">
        <f t="shared" si="6"/>
        <v>-35565</v>
      </c>
      <c r="AM42" s="350"/>
      <c r="AN42" s="354">
        <v>0</v>
      </c>
      <c r="AO42" s="350"/>
      <c r="AP42" s="353">
        <f>ROUND(-AP39*0.04,0)</f>
        <v>-47049</v>
      </c>
      <c r="AQ42" s="344">
        <f t="shared" si="7"/>
        <v>195303</v>
      </c>
      <c r="AR42" s="308"/>
      <c r="AS42" s="345"/>
      <c r="AV42" s="346"/>
    </row>
    <row r="43" spans="1:58" ht="3.95" customHeight="1">
      <c r="B43" s="274" t="s">
        <v>62</v>
      </c>
      <c r="E43" s="347"/>
      <c r="K43" s="278"/>
      <c r="L43" s="275"/>
      <c r="M43" s="275"/>
      <c r="N43" s="274"/>
      <c r="O43" s="275"/>
      <c r="P43" s="312"/>
      <c r="Q43" s="316"/>
      <c r="R43" s="338"/>
      <c r="S43" s="338"/>
      <c r="T43" s="339"/>
      <c r="U43" s="338"/>
      <c r="V43" s="339"/>
      <c r="W43" s="338"/>
      <c r="X43" s="339"/>
      <c r="Y43" s="338"/>
      <c r="Z43" s="339"/>
      <c r="AA43" s="338"/>
      <c r="AB43" s="350"/>
      <c r="AC43" s="351"/>
      <c r="AD43" s="350"/>
      <c r="AE43" s="352"/>
      <c r="AF43" s="350"/>
      <c r="AG43" s="352"/>
      <c r="AH43" s="350"/>
      <c r="AI43" s="352"/>
      <c r="AJ43" s="350"/>
      <c r="AK43" s="352"/>
      <c r="AL43" s="350"/>
      <c r="AM43" s="350"/>
      <c r="AN43" s="350"/>
      <c r="AO43" s="350"/>
      <c r="AP43" s="350"/>
      <c r="AQ43" s="358"/>
      <c r="AR43" s="308"/>
      <c r="AS43" s="359"/>
    </row>
    <row r="44" spans="1:58" ht="15" hidden="1" customHeight="1">
      <c r="B44" s="274" t="s">
        <v>31</v>
      </c>
      <c r="E44" s="336">
        <f>IF(OR($D$7=0,$F$16="NO"),0,"300001..361000|361002..369999")</f>
        <v>0</v>
      </c>
      <c r="F44" s="300"/>
      <c r="K44" s="278"/>
      <c r="L44" s="275"/>
      <c r="M44" s="275"/>
      <c r="N44" s="274"/>
      <c r="O44" s="275"/>
      <c r="P44" s="312"/>
      <c r="Q44" s="316"/>
      <c r="R44" s="338"/>
      <c r="S44" s="338"/>
      <c r="T44" s="339"/>
      <c r="U44" s="338"/>
      <c r="V44" s="339"/>
      <c r="W44" s="338"/>
      <c r="X44" s="339"/>
      <c r="Y44" s="338"/>
      <c r="Z44" s="339"/>
      <c r="AA44" s="338"/>
      <c r="AB44" s="350"/>
      <c r="AC44" s="351"/>
      <c r="AD44" s="350"/>
      <c r="AE44" s="352"/>
      <c r="AF44" s="350"/>
      <c r="AG44" s="352"/>
      <c r="AH44" s="350"/>
      <c r="AI44" s="352"/>
      <c r="AJ44" s="350"/>
      <c r="AK44" s="352"/>
      <c r="AL44" s="350"/>
      <c r="AM44" s="350"/>
      <c r="AN44" s="350"/>
      <c r="AO44" s="350"/>
      <c r="AP44" s="350"/>
      <c r="AQ44" s="358"/>
      <c r="AR44" s="308"/>
      <c r="AS44" s="359"/>
    </row>
    <row r="45" spans="1:58" ht="15" hidden="1" customHeight="1">
      <c r="B45" s="274" t="s">
        <v>31</v>
      </c>
      <c r="I45" s="360"/>
      <c r="K45" s="278"/>
      <c r="L45" s="275"/>
      <c r="M45" s="275"/>
      <c r="N45" s="274"/>
      <c r="O45" s="275"/>
      <c r="P45" s="312"/>
      <c r="Q45" s="316"/>
      <c r="R45" s="338"/>
      <c r="S45" s="338"/>
      <c r="T45" s="339"/>
      <c r="U45" s="338"/>
      <c r="V45" s="339"/>
      <c r="W45" s="338"/>
      <c r="X45" s="339"/>
      <c r="Y45" s="338"/>
      <c r="Z45" s="339"/>
      <c r="AA45" s="338"/>
      <c r="AB45" s="350"/>
      <c r="AC45" s="351"/>
      <c r="AD45" s="350"/>
      <c r="AE45" s="352"/>
      <c r="AF45" s="350"/>
      <c r="AG45" s="352"/>
      <c r="AH45" s="350"/>
      <c r="AI45" s="352"/>
      <c r="AJ45" s="350"/>
      <c r="AK45" s="352"/>
      <c r="AL45" s="350"/>
      <c r="AM45" s="350"/>
      <c r="AN45" s="350"/>
      <c r="AO45" s="350"/>
      <c r="AP45" s="350"/>
      <c r="AQ45" s="358"/>
      <c r="AR45" s="308"/>
      <c r="AS45" s="359"/>
    </row>
    <row r="46" spans="1:58" ht="15" hidden="1" customHeight="1">
      <c r="B46" s="274" t="str">
        <f>B49</f>
        <v>Hide</v>
      </c>
      <c r="I46" s="360" t="str">
        <f>IF(I45="","9999999",I45)</f>
        <v>9999999</v>
      </c>
      <c r="K46" s="278"/>
      <c r="L46" s="275"/>
      <c r="M46" s="275"/>
      <c r="N46" s="274"/>
      <c r="O46" s="275"/>
      <c r="P46" s="312"/>
      <c r="Q46" s="316"/>
      <c r="R46" s="361"/>
      <c r="S46" s="338"/>
      <c r="T46" s="339"/>
      <c r="U46" s="338"/>
      <c r="V46" s="339"/>
      <c r="W46" s="338"/>
      <c r="X46" s="339"/>
      <c r="Y46" s="338"/>
      <c r="Z46" s="339"/>
      <c r="AA46" s="338"/>
      <c r="AB46" s="350"/>
      <c r="AC46" s="351"/>
      <c r="AD46" s="350"/>
      <c r="AE46" s="352"/>
      <c r="AF46" s="350"/>
      <c r="AG46" s="352"/>
      <c r="AH46" s="350"/>
      <c r="AI46" s="352"/>
      <c r="AJ46" s="350"/>
      <c r="AK46" s="352"/>
      <c r="AL46" s="350"/>
      <c r="AM46" s="350"/>
      <c r="AN46" s="350"/>
      <c r="AO46" s="350"/>
      <c r="AP46" s="350"/>
      <c r="AQ46" s="358"/>
      <c r="AR46" s="308"/>
      <c r="AS46" s="359"/>
      <c r="AU46" s="362" t="s">
        <v>301</v>
      </c>
      <c r="AV46" s="362" t="str">
        <f>$V$33</f>
        <v>FY 2012</v>
      </c>
      <c r="AW46" s="362" t="str">
        <f>$X$33</f>
        <v>FY 2013</v>
      </c>
      <c r="AX46" s="362" t="str">
        <f>$Z$33</f>
        <v>FY 2014</v>
      </c>
      <c r="AY46" s="362" t="str">
        <f>$AB$33</f>
        <v>FY - 2015</v>
      </c>
      <c r="AZ46" s="362" t="s">
        <v>327</v>
      </c>
      <c r="BA46" s="362" t="s">
        <v>328</v>
      </c>
      <c r="BB46" s="362" t="s">
        <v>329</v>
      </c>
      <c r="BC46" s="362" t="s">
        <v>330</v>
      </c>
      <c r="BD46" s="362" t="s">
        <v>289</v>
      </c>
      <c r="BE46" s="362" t="s">
        <v>331</v>
      </c>
      <c r="BF46" s="362" t="s">
        <v>332</v>
      </c>
    </row>
    <row r="47" spans="1:58" ht="15" hidden="1" customHeight="1">
      <c r="A47" s="271" t="s">
        <v>236</v>
      </c>
      <c r="B47" s="271" t="str">
        <f>IF(AQ47=0,"Hide","Show")</f>
        <v>Hide</v>
      </c>
      <c r="E47" s="347"/>
      <c r="I47" s="360" t="str">
        <f t="shared" ref="I47:I50" si="10">I46</f>
        <v>9999999</v>
      </c>
      <c r="K47" s="337"/>
      <c r="L47" s="275" t="str">
        <f>$F$22</f>
        <v>203</v>
      </c>
      <c r="M47" s="275" t="str">
        <f>$J$7</f>
        <v>10/1/2016..9/30/2017</v>
      </c>
      <c r="N47" s="274" t="str">
        <f>$D$6</f>
        <v>HARMONY CDD</v>
      </c>
      <c r="O47" s="275" t="str">
        <f>K47&amp;" "&amp;I47</f>
        <v xml:space="preserve"> 9999999</v>
      </c>
      <c r="P47" s="312">
        <f>K47</f>
        <v>0</v>
      </c>
      <c r="Q47" s="316"/>
      <c r="R47" s="338"/>
      <c r="S47" s="338"/>
      <c r="T47" s="348">
        <v>0</v>
      </c>
      <c r="U47" s="338"/>
      <c r="V47" s="348">
        <v>0</v>
      </c>
      <c r="W47" s="349"/>
      <c r="X47" s="348">
        <v>0</v>
      </c>
      <c r="Y47" s="349"/>
      <c r="Z47" s="348">
        <v>0</v>
      </c>
      <c r="AA47" s="349"/>
      <c r="AB47" s="350">
        <v>0</v>
      </c>
      <c r="AC47" s="351"/>
      <c r="AD47" s="350">
        <v>0</v>
      </c>
      <c r="AE47" s="352"/>
      <c r="AF47" s="350">
        <v>0</v>
      </c>
      <c r="AG47" s="352"/>
      <c r="AH47" s="350">
        <v>0</v>
      </c>
      <c r="AI47" s="352"/>
      <c r="AJ47" s="353">
        <f>+AF47-AH47</f>
        <v>0</v>
      </c>
      <c r="AK47" s="352"/>
      <c r="AL47" s="350">
        <f>IF(ISERROR(AH47+AJ47),0,(AH47+AJ47))</f>
        <v>0</v>
      </c>
      <c r="AM47" s="350"/>
      <c r="AN47" s="354">
        <v>0</v>
      </c>
      <c r="AO47" s="350"/>
      <c r="AP47" s="353">
        <f>IF($F$13="YES",AF47,AN47)</f>
        <v>0</v>
      </c>
      <c r="AQ47" s="344">
        <f>ABS(SUMIF(V47:AP47,"&gt;0")-SUMIF(V47:AP47,"&lt;0"))</f>
        <v>0</v>
      </c>
      <c r="AR47" s="308"/>
      <c r="AS47" s="345"/>
    </row>
    <row r="48" spans="1:58" ht="3.95" hidden="1" customHeight="1">
      <c r="B48" s="274" t="str">
        <f>B49</f>
        <v>Hide</v>
      </c>
      <c r="E48" s="347"/>
      <c r="I48" s="360" t="str">
        <f t="shared" si="10"/>
        <v>9999999</v>
      </c>
      <c r="K48" s="278"/>
      <c r="L48" s="275"/>
      <c r="M48" s="275"/>
      <c r="N48" s="274"/>
      <c r="O48" s="275"/>
      <c r="P48" s="312"/>
      <c r="Q48" s="316"/>
      <c r="R48" s="363"/>
      <c r="S48" s="338"/>
      <c r="T48" s="339"/>
      <c r="U48" s="338"/>
      <c r="V48" s="339"/>
      <c r="W48" s="338"/>
      <c r="X48" s="339"/>
      <c r="Y48" s="338"/>
      <c r="Z48" s="339"/>
      <c r="AA48" s="338"/>
      <c r="AB48" s="350"/>
      <c r="AC48" s="351"/>
      <c r="AD48" s="350"/>
      <c r="AE48" s="352"/>
      <c r="AF48" s="350"/>
      <c r="AG48" s="352"/>
      <c r="AH48" s="350"/>
      <c r="AI48" s="352"/>
      <c r="AJ48" s="350"/>
      <c r="AK48" s="352"/>
      <c r="AL48" s="350"/>
      <c r="AM48" s="350"/>
      <c r="AN48" s="350"/>
      <c r="AO48" s="350"/>
      <c r="AP48" s="350"/>
      <c r="AQ48" s="358"/>
      <c r="AR48" s="308"/>
      <c r="AS48" s="359"/>
    </row>
    <row r="49" spans="1:58" ht="15" hidden="1" customHeight="1">
      <c r="B49" s="271" t="str">
        <f>IF(AQ49=0,"Hide","Show")</f>
        <v>Hide</v>
      </c>
      <c r="E49" s="347"/>
      <c r="I49" s="360" t="str">
        <f t="shared" si="10"/>
        <v>9999999</v>
      </c>
      <c r="K49" s="278"/>
      <c r="L49" s="275"/>
      <c r="M49" s="275"/>
      <c r="N49" s="274"/>
      <c r="O49" s="275"/>
      <c r="P49" s="312"/>
      <c r="Q49" s="316"/>
      <c r="R49" s="363" t="s">
        <v>150</v>
      </c>
      <c r="S49" s="338"/>
      <c r="T49" s="364">
        <f>SUM(T46:T48)</f>
        <v>0</v>
      </c>
      <c r="U49" s="338"/>
      <c r="V49" s="364">
        <f>SUM(V46:V48)</f>
        <v>0</v>
      </c>
      <c r="W49" s="338"/>
      <c r="X49" s="364">
        <f>SUM(X46:X48)</f>
        <v>0</v>
      </c>
      <c r="Y49" s="338"/>
      <c r="Z49" s="364">
        <f>SUM(Z46:Z48)</f>
        <v>0</v>
      </c>
      <c r="AA49" s="338"/>
      <c r="AB49" s="365">
        <f>SUM(AB46:AB48)</f>
        <v>0</v>
      </c>
      <c r="AC49" s="351"/>
      <c r="AD49" s="365">
        <f>SUM(AD46:AD48)</f>
        <v>0</v>
      </c>
      <c r="AE49" s="352"/>
      <c r="AF49" s="365">
        <f>SUM(AF46:AF48)</f>
        <v>0</v>
      </c>
      <c r="AG49" s="352"/>
      <c r="AH49" s="365">
        <f>SUM(AH46:AH48)</f>
        <v>0</v>
      </c>
      <c r="AI49" s="352"/>
      <c r="AJ49" s="365">
        <f>SUM(AJ46:AJ48)</f>
        <v>0</v>
      </c>
      <c r="AK49" s="352"/>
      <c r="AL49" s="365">
        <f>SUM(AL46:AL48)</f>
        <v>0</v>
      </c>
      <c r="AM49" s="350"/>
      <c r="AN49" s="365">
        <f>SUM(AN46:AN48)</f>
        <v>0</v>
      </c>
      <c r="AO49" s="350"/>
      <c r="AP49" s="365">
        <f>SUM(AP46:AP48)</f>
        <v>0</v>
      </c>
      <c r="AQ49" s="344">
        <f>ABS(SUMIF(V49:AP49,"&gt;0")-SUMIF(V49:AP49,"&lt;0"))</f>
        <v>0</v>
      </c>
      <c r="AR49" s="308"/>
      <c r="AS49" s="359"/>
      <c r="AU49" s="366">
        <f>SUM(T46:T48)</f>
        <v>0</v>
      </c>
      <c r="AV49" s="366">
        <f>SUM(V46:V48)</f>
        <v>0</v>
      </c>
      <c r="AW49" s="366">
        <f>SUM(X46:X48)</f>
        <v>0</v>
      </c>
      <c r="AX49" s="366">
        <f>SUM(Z46:Z48)</f>
        <v>0</v>
      </c>
      <c r="AY49" s="366">
        <f>SUM(AB46:AB48)</f>
        <v>0</v>
      </c>
      <c r="AZ49" s="366">
        <f>SUM(AD46:AD48)</f>
        <v>0</v>
      </c>
      <c r="BA49" s="366">
        <f>SUM(AF46:AF48)</f>
        <v>0</v>
      </c>
      <c r="BB49" s="366">
        <f>SUM(AH46:AH48)</f>
        <v>0</v>
      </c>
      <c r="BC49" s="366">
        <f>SUM(AJ46:AJ48)</f>
        <v>0</v>
      </c>
      <c r="BD49" s="366">
        <f>SUM(AL46:AL48)</f>
        <v>0</v>
      </c>
      <c r="BE49" s="367">
        <f>SUM(AN46:AN48)</f>
        <v>0</v>
      </c>
      <c r="BF49" s="367">
        <f>SUM(AP46:AP48)</f>
        <v>0</v>
      </c>
    </row>
    <row r="50" spans="1:58" ht="3.95" hidden="1" customHeight="1">
      <c r="B50" s="274" t="str">
        <f>B49</f>
        <v>Hide</v>
      </c>
      <c r="E50" s="347"/>
      <c r="H50" s="271"/>
      <c r="I50" s="360" t="str">
        <f t="shared" si="10"/>
        <v>9999999</v>
      </c>
      <c r="K50" s="278"/>
      <c r="L50" s="275"/>
      <c r="M50" s="275"/>
      <c r="N50" s="274"/>
      <c r="O50" s="275"/>
      <c r="P50" s="312"/>
      <c r="Q50" s="316"/>
      <c r="R50" s="338"/>
      <c r="S50" s="338"/>
      <c r="T50" s="339"/>
      <c r="U50" s="338"/>
      <c r="V50" s="339"/>
      <c r="W50" s="338"/>
      <c r="X50" s="339"/>
      <c r="Y50" s="338"/>
      <c r="Z50" s="339"/>
      <c r="AA50" s="338"/>
      <c r="AB50" s="350"/>
      <c r="AC50" s="351"/>
      <c r="AD50" s="350"/>
      <c r="AE50" s="352"/>
      <c r="AF50" s="350"/>
      <c r="AG50" s="352"/>
      <c r="AH50" s="350"/>
      <c r="AI50" s="352"/>
      <c r="AJ50" s="350"/>
      <c r="AK50" s="352"/>
      <c r="AL50" s="350"/>
      <c r="AM50" s="350"/>
      <c r="AN50" s="350"/>
      <c r="AO50" s="350"/>
      <c r="AP50" s="350"/>
      <c r="AQ50" s="358"/>
      <c r="AR50" s="308"/>
      <c r="AS50" s="359"/>
    </row>
    <row r="51" spans="1:58" ht="3.95" customHeight="1">
      <c r="B51" s="274" t="s">
        <v>62</v>
      </c>
      <c r="E51" s="347"/>
      <c r="H51" s="271"/>
      <c r="I51" s="360"/>
      <c r="K51" s="278"/>
      <c r="L51" s="275"/>
      <c r="M51" s="275"/>
      <c r="N51" s="274"/>
      <c r="O51" s="275"/>
      <c r="P51" s="312"/>
      <c r="Q51" s="316"/>
      <c r="R51" s="338"/>
      <c r="S51" s="338"/>
      <c r="T51" s="339"/>
      <c r="U51" s="338"/>
      <c r="V51" s="339"/>
      <c r="W51" s="338"/>
      <c r="X51" s="339"/>
      <c r="Y51" s="338"/>
      <c r="Z51" s="339"/>
      <c r="AA51" s="338"/>
      <c r="AB51" s="350"/>
      <c r="AC51" s="351"/>
      <c r="AD51" s="350"/>
      <c r="AE51" s="352"/>
      <c r="AF51" s="350"/>
      <c r="AG51" s="352"/>
      <c r="AH51" s="350"/>
      <c r="AI51" s="352"/>
      <c r="AJ51" s="350"/>
      <c r="AK51" s="352"/>
      <c r="AL51" s="350"/>
      <c r="AM51" s="350"/>
      <c r="AN51" s="350"/>
      <c r="AO51" s="350"/>
      <c r="AP51" s="350"/>
      <c r="AQ51" s="358"/>
      <c r="AR51" s="308"/>
      <c r="AS51" s="359"/>
    </row>
    <row r="52" spans="1:58" ht="15" customHeight="1">
      <c r="B52" s="274" t="s">
        <v>62</v>
      </c>
      <c r="E52" s="347"/>
      <c r="H52" s="271"/>
      <c r="K52" s="278"/>
      <c r="L52" s="275"/>
      <c r="M52" s="275"/>
      <c r="O52" s="283"/>
      <c r="P52" s="283"/>
      <c r="Q52" s="356"/>
      <c r="R52" s="368" t="str">
        <f>IF(AND($F$22&gt;"399",$F$22&lt;"500"),"TOTAL OPERATING REVENUES","TOTAL REVENUES")</f>
        <v>TOTAL REVENUES</v>
      </c>
      <c r="S52" s="369"/>
      <c r="T52" s="370">
        <f>SUM(T37:T43)+SUM(AU47:AU51)</f>
        <v>995770</v>
      </c>
      <c r="U52" s="369"/>
      <c r="V52" s="370">
        <f>SUM(V37:V43)+SUM(AV47:AV51)</f>
        <v>0</v>
      </c>
      <c r="W52" s="371"/>
      <c r="X52" s="370">
        <f>SUM(X37:X43)+SUM(AW47:AW51)</f>
        <v>0</v>
      </c>
      <c r="Y52" s="371"/>
      <c r="Z52" s="370">
        <f>SUM(Z37:Z43)+SUM(AX47:AX51)</f>
        <v>0</v>
      </c>
      <c r="AA52" s="371"/>
      <c r="AB52" s="372">
        <f>SUM(AB37:AB43)+SUM(AY47:AY51)</f>
        <v>1394585</v>
      </c>
      <c r="AC52" s="373"/>
      <c r="AD52" s="372">
        <f>SUM(AD37:AD43)+SUM(AZ47:AZ51)</f>
        <v>0</v>
      </c>
      <c r="AE52" s="374"/>
      <c r="AF52" s="372">
        <f>SUM(AF37:AF43)+SUM(BA47:BA51)</f>
        <v>1222725</v>
      </c>
      <c r="AG52" s="374"/>
      <c r="AH52" s="372">
        <f>SUM(AH37:AH43)+SUM(BB47:BB51)</f>
        <v>1266495</v>
      </c>
      <c r="AI52" s="374"/>
      <c r="AJ52" s="372">
        <f>SUM(AJ37:AJ43)+SUM(BC47:BC51)</f>
        <v>33268</v>
      </c>
      <c r="AK52" s="374"/>
      <c r="AL52" s="372">
        <f>SUM(AL37:AL43)+SUM(BD47:BD51)</f>
        <v>1299763</v>
      </c>
      <c r="AM52" s="372"/>
      <c r="AN52" s="372">
        <f>SUM(AN37:AN43)+SUM(BE47:BE51)</f>
        <v>0</v>
      </c>
      <c r="AO52" s="372"/>
      <c r="AP52" s="375">
        <f>SUM(AP37:AP43)+SUM(BF47:BF51)</f>
        <v>1217022.0552951745</v>
      </c>
      <c r="AQ52" s="534">
        <f>ABS(SUMIF(V52:AP52,"&gt;0")-SUMIF(V52:AP52,"&lt;0"))</f>
        <v>6433858.0552951749</v>
      </c>
      <c r="AR52" s="308"/>
      <c r="AS52" s="359"/>
    </row>
    <row r="53" spans="1:58" ht="15.95" customHeight="1">
      <c r="B53" s="271" t="s">
        <v>62</v>
      </c>
      <c r="E53" s="376"/>
      <c r="F53" s="271"/>
      <c r="G53" s="271"/>
      <c r="H53" s="271"/>
      <c r="K53" s="377"/>
      <c r="L53" s="280"/>
      <c r="M53" s="280"/>
      <c r="O53" s="280"/>
      <c r="P53" s="280"/>
      <c r="Q53" s="320"/>
      <c r="R53" s="378" t="s">
        <v>333</v>
      </c>
      <c r="S53" s="379"/>
      <c r="T53" s="380"/>
      <c r="U53" s="379"/>
      <c r="V53" s="380"/>
      <c r="W53" s="379"/>
      <c r="X53" s="380"/>
      <c r="Y53" s="379"/>
      <c r="Z53" s="380"/>
      <c r="AA53" s="379"/>
      <c r="AB53" s="381"/>
      <c r="AC53" s="382"/>
      <c r="AD53" s="381"/>
      <c r="AE53" s="383"/>
      <c r="AF53" s="381"/>
      <c r="AG53" s="383"/>
      <c r="AH53" s="381"/>
      <c r="AI53" s="383"/>
      <c r="AJ53" s="381"/>
      <c r="AK53" s="383"/>
      <c r="AL53" s="384">
        <f>AL52-AF52</f>
        <v>77038</v>
      </c>
      <c r="AM53" s="381"/>
      <c r="AN53" s="381"/>
      <c r="AO53" s="381"/>
      <c r="AP53" s="381"/>
      <c r="AQ53" s="686"/>
      <c r="AR53" s="308"/>
      <c r="AS53" s="385" t="s">
        <v>334</v>
      </c>
    </row>
    <row r="54" spans="1:58" ht="15" hidden="1" customHeight="1">
      <c r="B54" s="274" t="str">
        <f>IF(AQ58=0,"Hide","Show")</f>
        <v>Hide</v>
      </c>
      <c r="E54" s="336">
        <f>IF(OR($F$22=0,VALUE($F$22)&lt;=399,VALUE($F$22)&gt;499,$F$14="NO"),0,"552099..552199")</f>
        <v>0</v>
      </c>
      <c r="F54" s="300"/>
      <c r="K54" s="278"/>
      <c r="L54" s="275"/>
      <c r="M54" s="275"/>
      <c r="O54" s="283"/>
      <c r="P54" s="283"/>
      <c r="Q54" s="356"/>
      <c r="R54" s="334" t="s">
        <v>335</v>
      </c>
      <c r="S54" s="338"/>
      <c r="T54" s="339"/>
      <c r="U54" s="338"/>
      <c r="V54" s="339"/>
      <c r="W54" s="338"/>
      <c r="X54" s="339"/>
      <c r="Y54" s="338"/>
      <c r="Z54" s="339"/>
      <c r="AA54" s="338"/>
      <c r="AB54" s="350"/>
      <c r="AC54" s="351"/>
      <c r="AD54" s="350"/>
      <c r="AE54" s="386"/>
      <c r="AF54" s="350"/>
      <c r="AG54" s="386"/>
      <c r="AH54" s="350"/>
      <c r="AI54" s="386"/>
      <c r="AJ54" s="350"/>
      <c r="AK54" s="386"/>
      <c r="AL54" s="415"/>
      <c r="AM54" s="350"/>
      <c r="AN54" s="350"/>
      <c r="AO54" s="350"/>
      <c r="AP54" s="350"/>
      <c r="AQ54" s="529"/>
      <c r="AR54" s="308"/>
      <c r="AS54" s="359"/>
    </row>
    <row r="55" spans="1:58" ht="0.95" hidden="1" customHeight="1">
      <c r="B55" s="274" t="s">
        <v>31</v>
      </c>
      <c r="E55" s="347"/>
      <c r="K55" s="278"/>
      <c r="L55" s="275"/>
      <c r="M55" s="275"/>
      <c r="O55" s="283"/>
      <c r="P55" s="283"/>
      <c r="Q55" s="356"/>
      <c r="R55" s="338"/>
      <c r="S55" s="338"/>
      <c r="T55" s="339"/>
      <c r="U55" s="338"/>
      <c r="V55" s="339"/>
      <c r="W55" s="338"/>
      <c r="X55" s="339"/>
      <c r="Y55" s="338"/>
      <c r="Z55" s="339"/>
      <c r="AA55" s="338"/>
      <c r="AB55" s="350"/>
      <c r="AC55" s="351"/>
      <c r="AD55" s="350"/>
      <c r="AE55" s="386"/>
      <c r="AF55" s="350"/>
      <c r="AG55" s="386"/>
      <c r="AH55" s="350"/>
      <c r="AI55" s="386"/>
      <c r="AJ55" s="350"/>
      <c r="AK55" s="386"/>
      <c r="AL55" s="415"/>
      <c r="AM55" s="350"/>
      <c r="AN55" s="350"/>
      <c r="AO55" s="350"/>
      <c r="AP55" s="350"/>
      <c r="AQ55" s="529"/>
      <c r="AR55" s="308"/>
      <c r="AS55" s="359"/>
    </row>
    <row r="56" spans="1:58" ht="15.6" hidden="1" customHeight="1">
      <c r="A56" s="271" t="s">
        <v>236</v>
      </c>
      <c r="B56" s="271" t="str">
        <f>IF(AQ56=0,"Hide","Show")</f>
        <v>Hide</v>
      </c>
      <c r="E56" s="347"/>
      <c r="K56" s="337"/>
      <c r="L56" s="275" t="str">
        <f>$F$22</f>
        <v>203</v>
      </c>
      <c r="M56" s="275" t="str">
        <f>$J$7</f>
        <v>10/1/2016..9/30/2017</v>
      </c>
      <c r="N56" s="274" t="str">
        <f>$D$6</f>
        <v>HARMONY CDD</v>
      </c>
      <c r="O56" s="387" t="str">
        <f>IF(K56="","500000 50000",K56&amp;" "&amp;"50000")</f>
        <v>500000 50000</v>
      </c>
      <c r="P56" s="275">
        <f>K56</f>
        <v>0</v>
      </c>
      <c r="Q56" s="356"/>
      <c r="R56" s="338"/>
      <c r="S56" s="338"/>
      <c r="T56" s="388">
        <v>0</v>
      </c>
      <c r="U56" s="389"/>
      <c r="V56" s="388">
        <v>0</v>
      </c>
      <c r="W56" s="389"/>
      <c r="X56" s="388">
        <v>0</v>
      </c>
      <c r="Y56" s="389"/>
      <c r="Z56" s="388">
        <v>0</v>
      </c>
      <c r="AA56" s="389"/>
      <c r="AB56" s="354">
        <v>0</v>
      </c>
      <c r="AC56" s="390"/>
      <c r="AD56" s="354">
        <v>0</v>
      </c>
      <c r="AE56" s="354"/>
      <c r="AF56" s="354">
        <v>0</v>
      </c>
      <c r="AG56" s="354"/>
      <c r="AH56" s="354">
        <v>0</v>
      </c>
      <c r="AI56" s="354"/>
      <c r="AJ56" s="391">
        <v>0</v>
      </c>
      <c r="AK56" s="354"/>
      <c r="AL56" s="415">
        <f>IF(ISERROR(AH56+AJ56),0,(AH56+AJ56))</f>
        <v>0</v>
      </c>
      <c r="AM56" s="354"/>
      <c r="AN56" s="354">
        <v>0</v>
      </c>
      <c r="AO56" s="354"/>
      <c r="AP56" s="391">
        <f>IF($F$13="YES",AF56,AN56)</f>
        <v>0</v>
      </c>
      <c r="AQ56" s="534">
        <f>ABS(SUMIF(V56:AP56,"&gt;0")-SUMIF(V56:AP56,"&lt;0"))</f>
        <v>0</v>
      </c>
      <c r="AR56" s="308"/>
      <c r="AS56" s="345"/>
    </row>
    <row r="57" spans="1:58" ht="3.95" hidden="1" customHeight="1">
      <c r="B57" s="274" t="s">
        <v>31</v>
      </c>
      <c r="E57" s="347"/>
      <c r="K57" s="278"/>
      <c r="L57" s="275"/>
      <c r="M57" s="275"/>
      <c r="O57" s="283"/>
      <c r="P57" s="283"/>
      <c r="Q57" s="356"/>
      <c r="R57" s="338"/>
      <c r="S57" s="338"/>
      <c r="T57" s="339"/>
      <c r="U57" s="338"/>
      <c r="V57" s="339"/>
      <c r="W57" s="338"/>
      <c r="X57" s="339"/>
      <c r="Y57" s="338"/>
      <c r="Z57" s="339"/>
      <c r="AA57" s="338"/>
      <c r="AB57" s="350"/>
      <c r="AC57" s="351"/>
      <c r="AD57" s="350"/>
      <c r="AE57" s="386"/>
      <c r="AF57" s="350"/>
      <c r="AG57" s="386"/>
      <c r="AH57" s="350"/>
      <c r="AI57" s="386"/>
      <c r="AJ57" s="350"/>
      <c r="AK57" s="386"/>
      <c r="AL57" s="415"/>
      <c r="AM57" s="350"/>
      <c r="AN57" s="350"/>
      <c r="AO57" s="350"/>
      <c r="AP57" s="350"/>
      <c r="AQ57" s="529"/>
      <c r="AR57" s="308"/>
      <c r="AS57" s="359"/>
    </row>
    <row r="58" spans="1:58" ht="15.6" hidden="1" customHeight="1">
      <c r="B58" s="271" t="str">
        <f>IF(AQ58=0,"Hide","Show")</f>
        <v>Hide</v>
      </c>
      <c r="E58" s="347"/>
      <c r="K58" s="278"/>
      <c r="L58" s="275"/>
      <c r="M58" s="275"/>
      <c r="O58" s="283"/>
      <c r="P58" s="283"/>
      <c r="Q58" s="356"/>
      <c r="R58" s="392" t="str">
        <f>IF(AND($F$22&gt;"399",$F$22&lt;"500",$F$14="yes"),"Total Cost of Goods Sold","")</f>
        <v/>
      </c>
      <c r="S58" s="338"/>
      <c r="T58" s="393">
        <f>SUM(T55:T57)</f>
        <v>0</v>
      </c>
      <c r="U58" s="338"/>
      <c r="V58" s="393">
        <f>SUM(V55:V57)</f>
        <v>0</v>
      </c>
      <c r="W58" s="338"/>
      <c r="X58" s="393">
        <f>SUM(X55:X57)</f>
        <v>0</v>
      </c>
      <c r="Y58" s="338"/>
      <c r="Z58" s="393">
        <f>SUM(Z55:Z57)</f>
        <v>0</v>
      </c>
      <c r="AA58" s="338"/>
      <c r="AB58" s="394">
        <f>SUM(AB55:AB57)</f>
        <v>0</v>
      </c>
      <c r="AC58" s="351"/>
      <c r="AD58" s="394">
        <f>SUM(AD55:AD57)</f>
        <v>0</v>
      </c>
      <c r="AE58" s="386"/>
      <c r="AF58" s="394">
        <f>SUM(AF55:AF57)</f>
        <v>0</v>
      </c>
      <c r="AG58" s="386"/>
      <c r="AH58" s="394">
        <f>SUM(AH55:AH57)</f>
        <v>0</v>
      </c>
      <c r="AI58" s="386"/>
      <c r="AJ58" s="394">
        <f>SUM(AJ55:AJ57)</f>
        <v>0</v>
      </c>
      <c r="AK58" s="386"/>
      <c r="AL58" s="418">
        <f>SUM(AL55:AL57)</f>
        <v>0</v>
      </c>
      <c r="AM58" s="350"/>
      <c r="AN58" s="394">
        <f>SUM(AN55:AN57)</f>
        <v>0</v>
      </c>
      <c r="AO58" s="350"/>
      <c r="AP58" s="394">
        <f>SUM(AP55:AP57)</f>
        <v>0</v>
      </c>
      <c r="AQ58" s="534">
        <f>ABS(SUMIF(V58:AP58,"&gt;0")-SUMIF(V58:AP58,"&lt;0"))</f>
        <v>0</v>
      </c>
      <c r="AR58" s="308"/>
      <c r="AS58" s="359"/>
    </row>
    <row r="59" spans="1:58" ht="8.1" hidden="1" customHeight="1">
      <c r="B59" s="274" t="str">
        <f t="shared" ref="B59:B61" si="11">B58</f>
        <v>Hide</v>
      </c>
      <c r="E59" s="347"/>
      <c r="K59" s="278"/>
      <c r="L59" s="275"/>
      <c r="M59" s="275"/>
      <c r="O59" s="283"/>
      <c r="P59" s="283"/>
      <c r="Q59" s="356"/>
      <c r="R59" s="338"/>
      <c r="S59" s="338"/>
      <c r="T59" s="339"/>
      <c r="U59" s="338"/>
      <c r="V59" s="339"/>
      <c r="W59" s="338"/>
      <c r="X59" s="339"/>
      <c r="Y59" s="338"/>
      <c r="Z59" s="339"/>
      <c r="AA59" s="338"/>
      <c r="AB59" s="350"/>
      <c r="AC59" s="351"/>
      <c r="AD59" s="350"/>
      <c r="AE59" s="386"/>
      <c r="AF59" s="350"/>
      <c r="AG59" s="386"/>
      <c r="AH59" s="350"/>
      <c r="AI59" s="386"/>
      <c r="AJ59" s="350"/>
      <c r="AK59" s="386"/>
      <c r="AL59" s="415"/>
      <c r="AM59" s="350"/>
      <c r="AN59" s="350"/>
      <c r="AO59" s="350"/>
      <c r="AP59" s="350"/>
      <c r="AQ59" s="529"/>
      <c r="AR59" s="308"/>
      <c r="AS59" s="359"/>
    </row>
    <row r="60" spans="1:58" ht="15.95" hidden="1" customHeight="1">
      <c r="B60" s="274" t="str">
        <f t="shared" si="11"/>
        <v>Hide</v>
      </c>
      <c r="E60" s="347"/>
      <c r="K60" s="278"/>
      <c r="L60" s="275"/>
      <c r="M60" s="275"/>
      <c r="O60" s="283"/>
      <c r="P60" s="283"/>
      <c r="Q60" s="356"/>
      <c r="R60" s="368" t="str">
        <f>IF(AND($F$22&gt;"399",$F$22&lt;"500",$F$14="yes"),"GROSS PROFIT","")</f>
        <v/>
      </c>
      <c r="S60" s="369"/>
      <c r="T60" s="370">
        <f>IF(OR(VALUE($F$22)&lt;=399,VALUE($F$22)&gt;499,$F$14="NO"),0,T52-T58)</f>
        <v>0</v>
      </c>
      <c r="U60" s="369"/>
      <c r="V60" s="370">
        <f>IF(OR(VALUE($F$22)&lt;=399,VALUE($F$22)&gt;499,$F$14="NO"),0,V52-V58)</f>
        <v>0</v>
      </c>
      <c r="W60" s="371"/>
      <c r="X60" s="370">
        <f>IF(OR(VALUE($F$22)&lt;=399,VALUE($F$22)&gt;499,$F$14="NO"),0,X52-X58)</f>
        <v>0</v>
      </c>
      <c r="Y60" s="371"/>
      <c r="Z60" s="370">
        <f>IF(OR(VALUE($F$22)&lt;=399,VALUE($F$22)&gt;499,$F$14="NO"),0,Z52-Z58)</f>
        <v>0</v>
      </c>
      <c r="AA60" s="371"/>
      <c r="AB60" s="372">
        <f>IF(OR(VALUE($F$22)&lt;=399,VALUE($F$22)&gt;499,$F$14="NO"),0,AB52-AB58)</f>
        <v>0</v>
      </c>
      <c r="AC60" s="373"/>
      <c r="AD60" s="372">
        <f>IF(OR(VALUE($F$22)&lt;=399,VALUE($F$22)&gt;499,$F$14="NO"),0,AD52-AD58)</f>
        <v>0</v>
      </c>
      <c r="AE60" s="374"/>
      <c r="AF60" s="372">
        <f>IF(OR(VALUE($F$22)&lt;=399,VALUE($F$22)&gt;499,$F$14="NO"),0,AF52-AF58)</f>
        <v>0</v>
      </c>
      <c r="AG60" s="374"/>
      <c r="AH60" s="372">
        <f>IF(OR(VALUE($F$22)&lt;=399,VALUE($F$22)&gt;499,$F$14="NO"),0,AH52-AH58)</f>
        <v>0</v>
      </c>
      <c r="AI60" s="374"/>
      <c r="AJ60" s="372">
        <f>IF(OR(VALUE($F$22)&lt;=399,VALUE($F$22)&gt;499,$F$14="NO"),0,AJ52-AJ58)</f>
        <v>0</v>
      </c>
      <c r="AK60" s="374"/>
      <c r="AL60" s="432">
        <f>IF(OR(VALUE($F$22)&lt;=399,VALUE($F$22)&gt;499,$F$14="NO"),0,AL52-AL58)</f>
        <v>0</v>
      </c>
      <c r="AM60" s="372"/>
      <c r="AN60" s="372">
        <f>IF(OR(VALUE($F$22)&lt;=399,VALUE($F$22)&gt;499,$F$14="NO"),0,AN52-AN58)</f>
        <v>0</v>
      </c>
      <c r="AO60" s="372"/>
      <c r="AP60" s="375">
        <f>IF(OR(VALUE($F$22)&lt;=399,VALUE($F$22)&gt;499,$F$14="NO"),0,AP52-AP58)</f>
        <v>0</v>
      </c>
      <c r="AQ60" s="534">
        <f>ABS(SUMIF(V60:AP60,"&gt;0")-SUMIF(V60:AP60,"&lt;0"))</f>
        <v>0</v>
      </c>
      <c r="AR60" s="308"/>
      <c r="AS60" s="359"/>
    </row>
    <row r="61" spans="1:58" ht="15.95" hidden="1" customHeight="1">
      <c r="B61" s="274" t="str">
        <f t="shared" si="11"/>
        <v>Hide</v>
      </c>
      <c r="E61" s="347"/>
      <c r="K61" s="278"/>
      <c r="L61" s="275"/>
      <c r="M61" s="275"/>
      <c r="O61" s="283"/>
      <c r="P61" s="283"/>
      <c r="Q61" s="356"/>
      <c r="R61" s="338"/>
      <c r="S61" s="338"/>
      <c r="T61" s="339"/>
      <c r="U61" s="338"/>
      <c r="V61" s="339"/>
      <c r="W61" s="338"/>
      <c r="X61" s="339"/>
      <c r="Y61" s="338"/>
      <c r="Z61" s="339"/>
      <c r="AA61" s="338"/>
      <c r="AB61" s="350"/>
      <c r="AC61" s="351"/>
      <c r="AD61" s="350"/>
      <c r="AE61" s="386"/>
      <c r="AF61" s="350"/>
      <c r="AG61" s="386"/>
      <c r="AH61" s="350"/>
      <c r="AI61" s="386"/>
      <c r="AJ61" s="350"/>
      <c r="AK61" s="386"/>
      <c r="AL61" s="415"/>
      <c r="AM61" s="350"/>
      <c r="AN61" s="350"/>
      <c r="AO61" s="350"/>
      <c r="AP61" s="350"/>
      <c r="AQ61" s="529"/>
      <c r="AR61" s="308"/>
      <c r="AS61" s="359"/>
    </row>
    <row r="62" spans="1:58" ht="15" customHeight="1">
      <c r="B62" s="274" t="s">
        <v>62</v>
      </c>
      <c r="E62" s="347"/>
      <c r="K62" s="278"/>
      <c r="L62" s="275"/>
      <c r="M62" s="275"/>
      <c r="O62" s="283"/>
      <c r="P62" s="283"/>
      <c r="Q62" s="356"/>
      <c r="R62" s="334" t="str">
        <f>IF(AND($F$22&gt;"399",$F$22&lt;"500"),"OPERATING EXPENSES","EXPENDITURES")</f>
        <v>EXPENDITURES</v>
      </c>
      <c r="S62" s="338"/>
      <c r="T62" s="339"/>
      <c r="U62" s="338"/>
      <c r="V62" s="339"/>
      <c r="W62" s="338"/>
      <c r="X62" s="339"/>
      <c r="Y62" s="338"/>
      <c r="Z62" s="339"/>
      <c r="AA62" s="338"/>
      <c r="AB62" s="350"/>
      <c r="AC62" s="351"/>
      <c r="AD62" s="350"/>
      <c r="AE62" s="352"/>
      <c r="AF62" s="350"/>
      <c r="AG62" s="352"/>
      <c r="AH62" s="350"/>
      <c r="AI62" s="352"/>
      <c r="AJ62" s="350"/>
      <c r="AK62" s="352"/>
      <c r="AL62" s="350"/>
      <c r="AM62" s="350"/>
      <c r="AN62" s="350"/>
      <c r="AO62" s="350"/>
      <c r="AP62" s="350"/>
      <c r="AQ62" s="532"/>
      <c r="AR62" s="308"/>
      <c r="AS62" s="359"/>
    </row>
    <row r="63" spans="1:58" ht="3.95" customHeight="1">
      <c r="B63" s="274" t="s">
        <v>62</v>
      </c>
      <c r="E63" s="347"/>
      <c r="K63" s="278"/>
      <c r="L63" s="275"/>
      <c r="M63" s="275"/>
      <c r="O63" s="283"/>
      <c r="P63" s="283"/>
      <c r="Q63" s="356"/>
      <c r="R63" s="334"/>
      <c r="S63" s="338"/>
      <c r="T63" s="339"/>
      <c r="U63" s="338"/>
      <c r="V63" s="339"/>
      <c r="W63" s="338"/>
      <c r="X63" s="339"/>
      <c r="Y63" s="338"/>
      <c r="Z63" s="339"/>
      <c r="AA63" s="338"/>
      <c r="AB63" s="350"/>
      <c r="AC63" s="351"/>
      <c r="AD63" s="350"/>
      <c r="AE63" s="352"/>
      <c r="AF63" s="350"/>
      <c r="AG63" s="352"/>
      <c r="AH63" s="350"/>
      <c r="AI63" s="352"/>
      <c r="AJ63" s="350"/>
      <c r="AK63" s="352"/>
      <c r="AL63" s="350"/>
      <c r="AM63" s="350"/>
      <c r="AN63" s="350"/>
      <c r="AO63" s="350"/>
      <c r="AP63" s="350"/>
      <c r="AQ63" s="532"/>
      <c r="AR63" s="308"/>
      <c r="AS63" s="359"/>
    </row>
    <row r="64" spans="1:58" ht="15" customHeight="1">
      <c r="B64" s="274" t="str">
        <f>B68</f>
        <v>Show</v>
      </c>
      <c r="E64" s="347"/>
      <c r="F64" s="347"/>
      <c r="G64" s="347"/>
      <c r="K64" s="278"/>
      <c r="L64" s="275"/>
      <c r="M64" s="275"/>
      <c r="O64" s="283"/>
      <c r="P64" s="283"/>
      <c r="Q64" s="356"/>
      <c r="R64" s="395" t="str">
        <f>IF(AND($F$22&gt;"399",$F$22&lt;"500"),"Personnel and Administration","Administrative")</f>
        <v>Administrative</v>
      </c>
      <c r="S64" s="338"/>
      <c r="T64" s="339"/>
      <c r="U64" s="338"/>
      <c r="V64" s="339"/>
      <c r="W64" s="338"/>
      <c r="X64" s="339"/>
      <c r="Y64" s="338"/>
      <c r="Z64" s="339"/>
      <c r="AA64" s="338"/>
      <c r="AB64" s="350"/>
      <c r="AC64" s="351"/>
      <c r="AD64" s="350"/>
      <c r="AE64" s="352"/>
      <c r="AF64" s="350"/>
      <c r="AG64" s="352"/>
      <c r="AH64" s="350"/>
      <c r="AI64" s="352"/>
      <c r="AJ64" s="350"/>
      <c r="AK64" s="352"/>
      <c r="AL64" s="350"/>
      <c r="AM64" s="350"/>
      <c r="AN64" s="350"/>
      <c r="AO64" s="350"/>
      <c r="AP64" s="350"/>
      <c r="AQ64" s="532"/>
      <c r="AR64" s="308"/>
      <c r="AS64" s="359"/>
    </row>
    <row r="65" spans="1:58" ht="15.95" hidden="1" customHeight="1">
      <c r="B65" s="271" t="s">
        <v>31</v>
      </c>
      <c r="E65" s="336" t="str">
        <f>IF($F$22=0,0,IF(OR($F$14="No",VALUE($F$22)&lt;=399,VALUE($F$22)&gt;499),"500000..564999|566000..579999","500000..552098|552200..564999|566000..579999"))</f>
        <v>500000..564999|566000..579999</v>
      </c>
      <c r="F65" s="336"/>
      <c r="G65" s="347"/>
      <c r="H65" s="360" t="s">
        <v>336</v>
      </c>
      <c r="K65" s="278"/>
      <c r="L65" s="275"/>
      <c r="M65" s="275"/>
      <c r="O65" s="283"/>
      <c r="P65" s="283"/>
      <c r="Q65" s="356"/>
      <c r="R65" s="396"/>
      <c r="S65" s="338"/>
      <c r="T65" s="339"/>
      <c r="U65" s="338"/>
      <c r="V65" s="339"/>
      <c r="W65" s="338"/>
      <c r="X65" s="339"/>
      <c r="Y65" s="338"/>
      <c r="Z65" s="339"/>
      <c r="AA65" s="338"/>
      <c r="AB65" s="350"/>
      <c r="AC65" s="351"/>
      <c r="AD65" s="350"/>
      <c r="AE65" s="352"/>
      <c r="AF65" s="350"/>
      <c r="AG65" s="352"/>
      <c r="AH65" s="350"/>
      <c r="AI65" s="352"/>
      <c r="AJ65" s="350"/>
      <c r="AK65" s="352"/>
      <c r="AL65" s="350"/>
      <c r="AM65" s="350"/>
      <c r="AN65" s="350"/>
      <c r="AO65" s="350"/>
      <c r="AP65" s="350"/>
      <c r="AQ65" s="532"/>
      <c r="AR65" s="308"/>
      <c r="AS65" s="359"/>
    </row>
    <row r="66" spans="1:58" ht="15.6" customHeight="1">
      <c r="A66" s="271" t="s">
        <v>236</v>
      </c>
      <c r="B66" s="271" t="str">
        <f>IF(AQ66=0,"Hide","Show")</f>
        <v>Show</v>
      </c>
      <c r="K66" s="337" t="s">
        <v>485</v>
      </c>
      <c r="L66" s="275" t="str">
        <f>$F$22</f>
        <v>203</v>
      </c>
      <c r="M66" s="275" t="str">
        <f>$J$7</f>
        <v>10/1/2016..9/30/2017</v>
      </c>
      <c r="N66" s="274" t="str">
        <f>$D$6</f>
        <v>HARMONY CDD</v>
      </c>
      <c r="O66" s="387" t="str">
        <f>IF(K66="","500000 51699",K66&amp;" "&amp;"51699")</f>
        <v>549070 51699</v>
      </c>
      <c r="P66" s="283" t="str">
        <f>K66</f>
        <v>549070</v>
      </c>
      <c r="Q66" s="283"/>
      <c r="R66" s="389" t="s">
        <v>358</v>
      </c>
      <c r="S66" s="389"/>
      <c r="T66" s="388">
        <v>18135</v>
      </c>
      <c r="U66" s="338"/>
      <c r="V66" s="388">
        <v>0</v>
      </c>
      <c r="W66" s="338"/>
      <c r="X66" s="388">
        <v>0</v>
      </c>
      <c r="Y66" s="338"/>
      <c r="Z66" s="388">
        <v>0</v>
      </c>
      <c r="AA66" s="338"/>
      <c r="AB66" s="354">
        <v>14378</v>
      </c>
      <c r="AC66" s="351"/>
      <c r="AD66" s="354">
        <v>0</v>
      </c>
      <c r="AE66" s="354"/>
      <c r="AF66" s="354">
        <v>24149</v>
      </c>
      <c r="AG66" s="354"/>
      <c r="AH66" s="354">
        <v>22773</v>
      </c>
      <c r="AI66" s="354"/>
      <c r="AJ66" s="391">
        <f>+AJ39*0.02</f>
        <v>664</v>
      </c>
      <c r="AK66" s="354"/>
      <c r="AL66" s="350">
        <f>IF(ISERROR(AH66+AJ66),0,(AH66+AJ66))</f>
        <v>23437</v>
      </c>
      <c r="AM66" s="354"/>
      <c r="AN66" s="354">
        <v>0</v>
      </c>
      <c r="AO66" s="354"/>
      <c r="AP66" s="391">
        <f>ROUND(+AP39*0.02,)</f>
        <v>23525</v>
      </c>
      <c r="AQ66" s="534">
        <f>ABS(SUMIF(V66:AP66,"&gt;0")-SUMIF(V66:AP66,"&lt;0"))</f>
        <v>108926</v>
      </c>
      <c r="AR66" s="397"/>
      <c r="AS66" s="345"/>
      <c r="AV66" s="346"/>
    </row>
    <row r="67" spans="1:58" ht="3.95" customHeight="1">
      <c r="B67" s="274" t="str">
        <f>B68</f>
        <v>Show</v>
      </c>
      <c r="N67" s="274"/>
      <c r="Q67" s="320"/>
      <c r="R67" s="308"/>
      <c r="S67" s="308"/>
      <c r="T67" s="401"/>
      <c r="U67" s="308"/>
      <c r="V67" s="401"/>
      <c r="W67" s="308"/>
      <c r="X67" s="401"/>
      <c r="Y67" s="308"/>
      <c r="Z67" s="401"/>
      <c r="AA67" s="308"/>
      <c r="AB67" s="383"/>
      <c r="AC67" s="402"/>
      <c r="AD67" s="383"/>
      <c r="AE67" s="402"/>
      <c r="AF67" s="383"/>
      <c r="AG67" s="402"/>
      <c r="AH67" s="383"/>
      <c r="AI67" s="402"/>
      <c r="AJ67" s="383"/>
      <c r="AK67" s="402"/>
      <c r="AL67" s="383"/>
      <c r="AM67" s="402"/>
      <c r="AN67" s="383"/>
      <c r="AO67" s="383"/>
      <c r="AP67" s="383"/>
      <c r="AQ67" s="562"/>
      <c r="AR67" s="308"/>
      <c r="AS67" s="403"/>
    </row>
    <row r="68" spans="1:58" ht="15" customHeight="1">
      <c r="B68" s="271" t="str">
        <f>IF(AQ68=0,"Hide","Show")</f>
        <v>Show</v>
      </c>
      <c r="N68" s="274"/>
      <c r="R68" s="392" t="str">
        <f>"Total "&amp;R64</f>
        <v>Total Administrative</v>
      </c>
      <c r="S68" s="330"/>
      <c r="T68" s="393">
        <f>SUM(T66:T67)</f>
        <v>18135</v>
      </c>
      <c r="U68" s="404"/>
      <c r="V68" s="393">
        <f>SUM(V66:V67)</f>
        <v>0</v>
      </c>
      <c r="W68" s="404"/>
      <c r="X68" s="393">
        <f>SUM(X66:X67)</f>
        <v>0</v>
      </c>
      <c r="Y68" s="404"/>
      <c r="Z68" s="393">
        <f>SUM(Z66:Z67)</f>
        <v>0</v>
      </c>
      <c r="AA68" s="404"/>
      <c r="AB68" s="394">
        <f>SUM(AB66:AB67)</f>
        <v>14378</v>
      </c>
      <c r="AC68" s="405"/>
      <c r="AD68" s="394">
        <f>SUM(AD66:AD67)</f>
        <v>0</v>
      </c>
      <c r="AE68" s="386"/>
      <c r="AF68" s="394">
        <f>SUM(AF66:AF67)</f>
        <v>24149</v>
      </c>
      <c r="AG68" s="405"/>
      <c r="AH68" s="394">
        <f>SUM(AH66:AH67)</f>
        <v>22773</v>
      </c>
      <c r="AI68" s="405"/>
      <c r="AJ68" s="394">
        <f>SUM(AJ66:AJ67)</f>
        <v>664</v>
      </c>
      <c r="AK68" s="405"/>
      <c r="AL68" s="394">
        <f>SUM(AL66:AL67)</f>
        <v>23437</v>
      </c>
      <c r="AM68" s="405"/>
      <c r="AN68" s="394">
        <f>SUM(AN66:AN67)</f>
        <v>0</v>
      </c>
      <c r="AO68" s="405"/>
      <c r="AP68" s="394">
        <f>SUM(AP66:AP67)</f>
        <v>23525</v>
      </c>
      <c r="AQ68" s="534">
        <f>ABS(SUMIF(V68:AP68,"&gt;0")-SUMIF(V68:AP68,"&lt;0"))</f>
        <v>108926</v>
      </c>
      <c r="AR68" s="308"/>
      <c r="AS68" s="403"/>
    </row>
    <row r="69" spans="1:58" ht="9.9499999999999993" customHeight="1">
      <c r="B69" s="274" t="str">
        <f>B68</f>
        <v>Show</v>
      </c>
      <c r="N69" s="274"/>
      <c r="R69" s="308"/>
      <c r="S69" s="308"/>
      <c r="T69" s="308"/>
      <c r="U69" s="308"/>
      <c r="V69" s="308"/>
      <c r="W69" s="308"/>
      <c r="X69" s="308"/>
      <c r="Y69" s="308"/>
      <c r="Z69" s="308"/>
      <c r="AA69" s="308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383"/>
      <c r="AP69" s="402"/>
      <c r="AR69" s="308"/>
      <c r="AS69" s="403"/>
    </row>
    <row r="70" spans="1:58" hidden="1">
      <c r="B70" s="271" t="s">
        <v>31</v>
      </c>
      <c r="E70" s="336" t="str">
        <f>IF($F$22=0,0,IF(OR($F$14="No",VALUE($F$22)&lt;=399,VALUE($F$22)&gt;499),"500000..564999|566000..579999","500000..552098|552200..564999|566000..579999"))</f>
        <v>500000..564999|566000..579999</v>
      </c>
      <c r="F70" s="300"/>
      <c r="H70" s="360" t="s">
        <v>364</v>
      </c>
      <c r="N70" s="274"/>
      <c r="R70" s="308"/>
      <c r="S70" s="308"/>
      <c r="T70" s="308"/>
      <c r="U70" s="308"/>
      <c r="V70" s="308"/>
      <c r="W70" s="308"/>
      <c r="X70" s="308"/>
      <c r="Y70" s="308"/>
      <c r="Z70" s="308"/>
      <c r="AA70" s="308"/>
      <c r="AB70" s="402"/>
      <c r="AC70" s="402"/>
      <c r="AD70" s="402"/>
      <c r="AE70" s="402"/>
      <c r="AF70" s="402"/>
      <c r="AG70" s="402"/>
      <c r="AH70" s="402">
        <f>$Z$152+$Z$153</f>
        <v>0</v>
      </c>
      <c r="AI70" s="402"/>
      <c r="AJ70" s="402"/>
      <c r="AK70" s="402"/>
      <c r="AL70" s="402"/>
      <c r="AM70" s="402"/>
      <c r="AN70" s="402"/>
      <c r="AO70" s="383"/>
      <c r="AP70" s="402"/>
      <c r="AR70" s="308"/>
      <c r="AS70" s="403"/>
    </row>
    <row r="71" spans="1:58" hidden="1">
      <c r="B71" s="271" t="s">
        <v>31</v>
      </c>
      <c r="N71" s="274"/>
      <c r="R71" s="308"/>
      <c r="S71" s="308"/>
      <c r="T71" s="308"/>
      <c r="U71" s="308"/>
      <c r="V71" s="308"/>
      <c r="W71" s="308"/>
      <c r="X71" s="308"/>
      <c r="Y71" s="308"/>
      <c r="Z71" s="308"/>
      <c r="AA71" s="308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383"/>
      <c r="AP71" s="402"/>
      <c r="AR71" s="308"/>
      <c r="AS71" s="403"/>
    </row>
    <row r="72" spans="1:58" hidden="1">
      <c r="B72" s="271" t="s">
        <v>31</v>
      </c>
      <c r="H72" s="272" t="s">
        <v>365</v>
      </c>
      <c r="I72" s="412" t="s">
        <v>531</v>
      </c>
      <c r="N72" s="274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383"/>
      <c r="AP72" s="402"/>
      <c r="AR72" s="308"/>
      <c r="AS72" s="403"/>
    </row>
    <row r="73" spans="1:58" ht="15" customHeight="1">
      <c r="B73" s="271" t="str">
        <f>IF(AQ77=0,"Hide","Show")</f>
        <v>Hide</v>
      </c>
      <c r="I73" s="413" t="str">
        <f t="shared" ref="I73:I75" si="12">I72</f>
        <v>58001</v>
      </c>
      <c r="N73" s="274"/>
      <c r="R73" s="414" t="s">
        <v>532</v>
      </c>
      <c r="S73" s="308"/>
      <c r="T73" s="308"/>
      <c r="U73" s="308"/>
      <c r="V73" s="308"/>
      <c r="W73" s="308"/>
      <c r="X73" s="308"/>
      <c r="Y73" s="308"/>
      <c r="Z73" s="308"/>
      <c r="AA73" s="308"/>
      <c r="AB73" s="402"/>
      <c r="AC73" s="402"/>
      <c r="AD73" s="402"/>
      <c r="AE73" s="402"/>
      <c r="AF73" s="402"/>
      <c r="AG73" s="402"/>
      <c r="AH73" s="402"/>
      <c r="AI73" s="402"/>
      <c r="AJ73" s="402"/>
      <c r="AK73" s="402"/>
      <c r="AL73" s="402"/>
      <c r="AM73" s="402"/>
      <c r="AN73" s="402"/>
      <c r="AO73" s="383"/>
      <c r="AP73" s="402"/>
      <c r="AR73" s="308"/>
      <c r="AS73" s="403"/>
      <c r="AU73" s="362" t="s">
        <v>301</v>
      </c>
      <c r="AV73" s="362" t="str">
        <f>$V$33</f>
        <v>FY 2012</v>
      </c>
      <c r="AW73" s="362" t="str">
        <f>$X$33</f>
        <v>FY 2013</v>
      </c>
      <c r="AX73" s="362" t="str">
        <f>$Z$33</f>
        <v>FY 2014</v>
      </c>
      <c r="AY73" s="362" t="str">
        <f>$AB$33</f>
        <v>FY - 2015</v>
      </c>
      <c r="AZ73" s="362" t="s">
        <v>327</v>
      </c>
      <c r="BA73" s="362" t="s">
        <v>328</v>
      </c>
      <c r="BB73" s="362" t="s">
        <v>329</v>
      </c>
      <c r="BC73" s="362" t="s">
        <v>330</v>
      </c>
      <c r="BD73" s="362" t="s">
        <v>289</v>
      </c>
      <c r="BE73" s="362" t="s">
        <v>331</v>
      </c>
      <c r="BF73" s="362" t="s">
        <v>332</v>
      </c>
    </row>
    <row r="74" spans="1:58" ht="15.6" hidden="1" customHeight="1">
      <c r="A74" s="271" t="s">
        <v>236</v>
      </c>
      <c r="B74" s="271" t="str">
        <f t="shared" ref="B74:B75" si="13">IF(AQ74=0,"Hide","Show")</f>
        <v>Hide</v>
      </c>
      <c r="I74" s="413" t="str">
        <f t="shared" si="12"/>
        <v>58001</v>
      </c>
      <c r="K74" s="337" t="s">
        <v>533</v>
      </c>
      <c r="L74" s="275" t="str">
        <f t="shared" ref="L74:L75" si="14">$F$22</f>
        <v>203</v>
      </c>
      <c r="M74" s="275" t="str">
        <f t="shared" ref="M74:M75" si="15">$J$7</f>
        <v>10/1/2016..9/30/2017</v>
      </c>
      <c r="N74" s="274" t="str">
        <f t="shared" ref="N74:N75" si="16">$D$6</f>
        <v>HARMONY CDD</v>
      </c>
      <c r="O74" s="387" t="str">
        <f t="shared" ref="O74:O75" si="17">IF(I74="","500000 51800",K74&amp;" "&amp;I74)</f>
        <v>573010 58001</v>
      </c>
      <c r="P74" s="283" t="str">
        <f t="shared" ref="P74:P75" si="18">K74</f>
        <v>573010</v>
      </c>
      <c r="R74" s="389" t="s">
        <v>534</v>
      </c>
      <c r="S74" s="308"/>
      <c r="T74" s="388">
        <v>0</v>
      </c>
      <c r="U74" s="401"/>
      <c r="V74" s="388">
        <v>0</v>
      </c>
      <c r="W74" s="338"/>
      <c r="X74" s="388">
        <v>0</v>
      </c>
      <c r="Y74" s="338"/>
      <c r="Z74" s="388">
        <v>0</v>
      </c>
      <c r="AA74" s="338"/>
      <c r="AB74" s="354">
        <v>0</v>
      </c>
      <c r="AC74" s="351"/>
      <c r="AD74" s="354">
        <v>0</v>
      </c>
      <c r="AE74" s="354"/>
      <c r="AF74" s="354">
        <v>0</v>
      </c>
      <c r="AG74" s="354"/>
      <c r="AH74" s="354">
        <v>0</v>
      </c>
      <c r="AI74" s="354"/>
      <c r="AJ74" s="391">
        <v>0</v>
      </c>
      <c r="AK74" s="354"/>
      <c r="AL74" s="350">
        <f t="shared" ref="AL74:AL75" si="19">IF(ISERROR(AH74+AJ74),0,(AH74+AJ74))</f>
        <v>0</v>
      </c>
      <c r="AM74" s="354"/>
      <c r="AN74" s="354">
        <v>0</v>
      </c>
      <c r="AO74" s="354"/>
      <c r="AP74" s="391">
        <f t="shared" ref="AP74:AP75" si="20">IF($F$13="YES",AF74,AN74)</f>
        <v>0</v>
      </c>
      <c r="AQ74" s="534">
        <f t="shared" ref="AQ74:AQ75" si="21">ABS(SUMIF(V74:AP74,"&gt;0")-SUMIF(V74:AP74,"&lt;0"))</f>
        <v>0</v>
      </c>
      <c r="AR74" s="308"/>
      <c r="AS74" s="345"/>
    </row>
    <row r="75" spans="1:58" ht="15.6" customHeight="1">
      <c r="A75" s="271" t="s">
        <v>311</v>
      </c>
      <c r="B75" s="271" t="str">
        <f t="shared" si="13"/>
        <v>Hide</v>
      </c>
      <c r="I75" s="413" t="str">
        <f t="shared" si="12"/>
        <v>58001</v>
      </c>
      <c r="K75" s="337" t="str">
        <f>"573012"</f>
        <v>573012</v>
      </c>
      <c r="L75" s="275" t="str">
        <f t="shared" si="14"/>
        <v>203</v>
      </c>
      <c r="M75" s="275" t="str">
        <f t="shared" si="15"/>
        <v>10/1/2016..9/30/2017</v>
      </c>
      <c r="N75" s="274" t="str">
        <f t="shared" si="16"/>
        <v>HARMONY CDD</v>
      </c>
      <c r="O75" s="387" t="str">
        <f t="shared" si="17"/>
        <v>573012 58001</v>
      </c>
      <c r="P75" s="283" t="str">
        <f t="shared" si="18"/>
        <v>573012</v>
      </c>
      <c r="R75" s="389" t="s">
        <v>535</v>
      </c>
      <c r="S75" s="308"/>
      <c r="T75" s="388">
        <v>0</v>
      </c>
      <c r="U75" s="401"/>
      <c r="V75" s="388">
        <v>0</v>
      </c>
      <c r="W75" s="338"/>
      <c r="X75" s="388">
        <v>0</v>
      </c>
      <c r="Y75" s="338"/>
      <c r="Z75" s="388">
        <v>0</v>
      </c>
      <c r="AA75" s="338"/>
      <c r="AB75" s="354">
        <v>0</v>
      </c>
      <c r="AC75" s="351"/>
      <c r="AD75" s="354">
        <v>0</v>
      </c>
      <c r="AE75" s="354"/>
      <c r="AF75" s="354">
        <v>0</v>
      </c>
      <c r="AG75" s="354"/>
      <c r="AH75" s="354">
        <v>0</v>
      </c>
      <c r="AI75" s="354"/>
      <c r="AJ75" s="391">
        <v>0</v>
      </c>
      <c r="AK75" s="354"/>
      <c r="AL75" s="350">
        <f t="shared" si="19"/>
        <v>0</v>
      </c>
      <c r="AM75" s="354"/>
      <c r="AN75" s="354">
        <v>0</v>
      </c>
      <c r="AO75" s="354"/>
      <c r="AP75" s="391">
        <f t="shared" si="20"/>
        <v>0</v>
      </c>
      <c r="AQ75" s="534">
        <f t="shared" si="21"/>
        <v>0</v>
      </c>
      <c r="AR75" s="308"/>
      <c r="AS75" s="345"/>
    </row>
    <row r="76" spans="1:58" ht="3.95" hidden="1" customHeight="1">
      <c r="B76" s="274" t="s">
        <v>31</v>
      </c>
      <c r="I76" s="413" t="str">
        <f>I74</f>
        <v>58001</v>
      </c>
      <c r="N76" s="274"/>
      <c r="P76" s="283"/>
      <c r="R76" s="308"/>
      <c r="S76" s="308"/>
      <c r="T76" s="401"/>
      <c r="U76" s="308"/>
      <c r="V76" s="401"/>
      <c r="W76" s="308"/>
      <c r="X76" s="401"/>
      <c r="Y76" s="308"/>
      <c r="Z76" s="401"/>
      <c r="AA76" s="308"/>
      <c r="AB76" s="383"/>
      <c r="AC76" s="402"/>
      <c r="AD76" s="383"/>
      <c r="AE76" s="402"/>
      <c r="AF76" s="383"/>
      <c r="AG76" s="402"/>
      <c r="AH76" s="383"/>
      <c r="AI76" s="402"/>
      <c r="AJ76" s="383"/>
      <c r="AK76" s="402"/>
      <c r="AL76" s="383"/>
      <c r="AM76" s="402"/>
      <c r="AN76" s="383"/>
      <c r="AO76" s="383"/>
      <c r="AP76" s="383"/>
      <c r="AR76" s="308"/>
      <c r="AS76" s="403"/>
    </row>
    <row r="77" spans="1:58" ht="15" customHeight="1">
      <c r="B77" s="271" t="str">
        <f>IF(AQ77=0,"Hide","Show")</f>
        <v>Hide</v>
      </c>
      <c r="I77" s="413" t="str">
        <f t="shared" ref="I77:I78" si="22">I76</f>
        <v>58001</v>
      </c>
      <c r="N77" s="274"/>
      <c r="P77" s="283"/>
      <c r="R77" s="417" t="str">
        <f>"Total "&amp;($R73)</f>
        <v>Total Non-Operating</v>
      </c>
      <c r="S77" s="308"/>
      <c r="T77" s="393">
        <f>SUM(T74:T76)</f>
        <v>0</v>
      </c>
      <c r="U77" s="322"/>
      <c r="V77" s="393">
        <f>SUM(V74:V76)</f>
        <v>0</v>
      </c>
      <c r="W77" s="404"/>
      <c r="X77" s="393">
        <f>SUM(X74:X76)</f>
        <v>0</v>
      </c>
      <c r="Y77" s="404"/>
      <c r="Z77" s="393">
        <f>SUM(Z74:Z76)</f>
        <v>0</v>
      </c>
      <c r="AA77" s="404"/>
      <c r="AB77" s="394">
        <f>SUM(AB74:AB76)</f>
        <v>0</v>
      </c>
      <c r="AC77" s="405"/>
      <c r="AD77" s="394">
        <f>SUM(AD74:AD76)</f>
        <v>0</v>
      </c>
      <c r="AE77" s="386"/>
      <c r="AF77" s="394">
        <f>SUM(AF74:AF76)</f>
        <v>0</v>
      </c>
      <c r="AG77" s="405"/>
      <c r="AH77" s="394">
        <f>SUM(AH74:AH76)</f>
        <v>0</v>
      </c>
      <c r="AI77" s="405"/>
      <c r="AJ77" s="394">
        <f>SUM(AJ74:AJ76)</f>
        <v>0</v>
      </c>
      <c r="AK77" s="405"/>
      <c r="AL77" s="394">
        <f>SUM(AL74:AL76)</f>
        <v>0</v>
      </c>
      <c r="AM77" s="405"/>
      <c r="AN77" s="394">
        <f>SUM(AN74:AN76)</f>
        <v>0</v>
      </c>
      <c r="AO77" s="405"/>
      <c r="AP77" s="394">
        <f>SUM(AP74:AP76)</f>
        <v>0</v>
      </c>
      <c r="AQ77" s="534">
        <f>ABS(SUMIF(V77:AP77,"&gt;0")-SUMIF(V77:AP77,"&lt;0"))</f>
        <v>0</v>
      </c>
      <c r="AR77" s="308"/>
      <c r="AS77" s="403"/>
      <c r="AU77" s="274">
        <f>SUM(T73:T76)</f>
        <v>0</v>
      </c>
      <c r="AV77" s="274">
        <f>SUM(V73:V76)</f>
        <v>0</v>
      </c>
      <c r="AW77" s="274">
        <f>SUM(X73:X76)</f>
        <v>0</v>
      </c>
      <c r="AX77" s="274">
        <f>SUM(Z73:Z76)</f>
        <v>0</v>
      </c>
      <c r="AY77" s="274">
        <f>SUM(AB73:AB76)</f>
        <v>0</v>
      </c>
      <c r="AZ77" s="274">
        <f>SUM(AD73:AD76)</f>
        <v>0</v>
      </c>
      <c r="BA77" s="274">
        <f>SUM(AF73:AF76)</f>
        <v>0</v>
      </c>
      <c r="BB77" s="274">
        <f>SUM(AH73:AH76)</f>
        <v>0</v>
      </c>
      <c r="BC77" s="274">
        <f>SUM(AJ73:AJ76)</f>
        <v>0</v>
      </c>
      <c r="BD77" s="274">
        <f>SUM(AL73:AL76)</f>
        <v>0</v>
      </c>
      <c r="BE77" s="274">
        <f>SUM(AN73:AN76)</f>
        <v>0</v>
      </c>
      <c r="BF77" s="274">
        <f>SUM(AP73:AP76)</f>
        <v>0</v>
      </c>
    </row>
    <row r="78" spans="1:58" ht="9.9499999999999993" customHeight="1">
      <c r="B78" s="271" t="str">
        <f>B77</f>
        <v>Hide</v>
      </c>
      <c r="I78" s="413" t="str">
        <f t="shared" si="22"/>
        <v>58001</v>
      </c>
      <c r="N78" s="274"/>
      <c r="P78" s="283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402"/>
      <c r="AC78" s="402"/>
      <c r="AD78" s="402"/>
      <c r="AE78" s="402"/>
      <c r="AF78" s="402"/>
      <c r="AG78" s="402"/>
      <c r="AH78" s="402"/>
      <c r="AI78" s="402"/>
      <c r="AJ78" s="402"/>
      <c r="AK78" s="402"/>
      <c r="AL78" s="402"/>
      <c r="AM78" s="402"/>
      <c r="AN78" s="402"/>
      <c r="AO78" s="383"/>
      <c r="AP78" s="402"/>
      <c r="AR78" s="308"/>
      <c r="AS78" s="403"/>
    </row>
    <row r="79" spans="1:58" hidden="1">
      <c r="B79" s="271" t="s">
        <v>31</v>
      </c>
      <c r="N79" s="274"/>
      <c r="P79" s="283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402"/>
      <c r="AC79" s="402"/>
      <c r="AD79" s="402"/>
      <c r="AE79" s="402"/>
      <c r="AF79" s="402"/>
      <c r="AG79" s="402"/>
      <c r="AH79" s="402"/>
      <c r="AI79" s="402"/>
      <c r="AJ79" s="402"/>
      <c r="AK79" s="402"/>
      <c r="AL79" s="402"/>
      <c r="AM79" s="402"/>
      <c r="AN79" s="402"/>
      <c r="AO79" s="383"/>
      <c r="AP79" s="402"/>
      <c r="AR79" s="308"/>
      <c r="AS79" s="403"/>
    </row>
    <row r="80" spans="1:58" hidden="1">
      <c r="B80" s="271" t="s">
        <v>31</v>
      </c>
      <c r="N80" s="274"/>
      <c r="P80" s="283"/>
      <c r="R80" s="424" t="s">
        <v>437</v>
      </c>
      <c r="S80" s="424"/>
      <c r="T80" s="424">
        <f>SUM(AU76:AU79)</f>
        <v>0</v>
      </c>
      <c r="U80" s="424"/>
      <c r="V80" s="424">
        <f>SUM(AV76:AV79)</f>
        <v>0</v>
      </c>
      <c r="W80" s="424"/>
      <c r="X80" s="424">
        <f>SUM(AW76:AW79)</f>
        <v>0</v>
      </c>
      <c r="Y80" s="424"/>
      <c r="Z80" s="424">
        <f>SUM(AX76:AX79)</f>
        <v>0</v>
      </c>
      <c r="AA80" s="424"/>
      <c r="AB80" s="425">
        <f>SUM(AY76:AY79)</f>
        <v>0</v>
      </c>
      <c r="AC80" s="425"/>
      <c r="AD80" s="425">
        <f>SUM(AZ76:AZ79)</f>
        <v>0</v>
      </c>
      <c r="AE80" s="425"/>
      <c r="AF80" s="425">
        <f>SUM(BA76:BA79)</f>
        <v>0</v>
      </c>
      <c r="AG80" s="425"/>
      <c r="AH80" s="425">
        <f>SUM(BB76:BB79)</f>
        <v>0</v>
      </c>
      <c r="AI80" s="425"/>
      <c r="AJ80" s="425">
        <f>SUM(BC76:BC79)</f>
        <v>0</v>
      </c>
      <c r="AK80" s="425"/>
      <c r="AL80" s="425">
        <f>SUM(BD76:BD79)</f>
        <v>0</v>
      </c>
      <c r="AM80" s="425"/>
      <c r="AN80" s="425">
        <f>SUM(BE76:BE79)</f>
        <v>0</v>
      </c>
      <c r="AO80" s="425"/>
      <c r="AP80" s="425">
        <f>SUM(BF76:BF79)</f>
        <v>0</v>
      </c>
      <c r="AR80" s="308"/>
      <c r="AS80" s="403"/>
    </row>
    <row r="81" spans="1:45" ht="27" hidden="1">
      <c r="B81" s="271" t="s">
        <v>31</v>
      </c>
      <c r="E81" s="427" t="s">
        <v>438</v>
      </c>
      <c r="N81" s="274"/>
      <c r="P81" s="283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402"/>
      <c r="AC81" s="402"/>
      <c r="AD81" s="402"/>
      <c r="AE81" s="402"/>
      <c r="AF81" s="402"/>
      <c r="AG81" s="402"/>
      <c r="AH81" s="402">
        <f>$Z$154+$Z$155+$Z$156+$Z$157</f>
        <v>0</v>
      </c>
      <c r="AI81" s="402"/>
      <c r="AJ81" s="402"/>
      <c r="AK81" s="402"/>
      <c r="AL81" s="402"/>
      <c r="AM81" s="402"/>
      <c r="AN81" s="402"/>
      <c r="AO81" s="383"/>
      <c r="AP81" s="402"/>
      <c r="AR81" s="308"/>
      <c r="AS81" s="403"/>
    </row>
    <row r="82" spans="1:45" ht="15" hidden="1" customHeight="1">
      <c r="B82" s="271" t="str">
        <f>IF(AQ85=0,"Hide","Show")</f>
        <v>Hide</v>
      </c>
      <c r="L82" s="275"/>
      <c r="M82" s="275"/>
      <c r="N82" s="274"/>
      <c r="O82" s="280"/>
      <c r="P82" s="283"/>
      <c r="R82" s="414" t="s">
        <v>439</v>
      </c>
      <c r="S82" s="308"/>
      <c r="T82" s="308"/>
      <c r="U82" s="308"/>
      <c r="V82" s="308"/>
      <c r="W82" s="308"/>
      <c r="X82" s="308"/>
      <c r="Y82" s="308"/>
      <c r="Z82" s="308"/>
      <c r="AA82" s="308"/>
      <c r="AB82" s="402"/>
      <c r="AC82" s="402"/>
      <c r="AD82" s="402"/>
      <c r="AE82" s="402"/>
      <c r="AF82" s="402"/>
      <c r="AG82" s="402"/>
      <c r="AH82" s="402"/>
      <c r="AI82" s="402"/>
      <c r="AJ82" s="402"/>
      <c r="AK82" s="402"/>
      <c r="AL82" s="402"/>
      <c r="AM82" s="402"/>
      <c r="AN82" s="402"/>
      <c r="AO82" s="383"/>
      <c r="AP82" s="402"/>
      <c r="AR82" s="308"/>
      <c r="AS82" s="403"/>
    </row>
    <row r="83" spans="1:45" ht="15.6" hidden="1" customHeight="1">
      <c r="A83" s="271" t="s">
        <v>236</v>
      </c>
      <c r="B83" s="271" t="str">
        <f>IF(AQ83=0,"Hide","Show")</f>
        <v>Hide</v>
      </c>
      <c r="K83" s="337"/>
      <c r="L83" s="275" t="str">
        <f>$F$22</f>
        <v>203</v>
      </c>
      <c r="M83" s="275" t="str">
        <f>$J$7</f>
        <v>10/1/2016..9/30/2017</v>
      </c>
      <c r="N83" s="274" t="str">
        <f>$D$6</f>
        <v>HARMONY CDD</v>
      </c>
      <c r="O83" s="387" t="str">
        <f>IF(K83="","565999",K83)</f>
        <v>565999</v>
      </c>
      <c r="P83" s="283">
        <f>K83</f>
        <v>0</v>
      </c>
      <c r="R83" s="389"/>
      <c r="S83" s="308"/>
      <c r="T83" s="428">
        <v>0</v>
      </c>
      <c r="U83" s="401"/>
      <c r="V83" s="428">
        <v>0</v>
      </c>
      <c r="W83" s="349"/>
      <c r="X83" s="428">
        <v>0</v>
      </c>
      <c r="Y83" s="349"/>
      <c r="Z83" s="428">
        <v>0</v>
      </c>
      <c r="AA83" s="349"/>
      <c r="AB83" s="354">
        <v>0</v>
      </c>
      <c r="AC83" s="351"/>
      <c r="AD83" s="354">
        <v>0</v>
      </c>
      <c r="AE83" s="354"/>
      <c r="AF83" s="354">
        <v>0</v>
      </c>
      <c r="AG83" s="354"/>
      <c r="AH83" s="354">
        <v>0</v>
      </c>
      <c r="AI83" s="354"/>
      <c r="AJ83" s="391">
        <v>0</v>
      </c>
      <c r="AK83" s="354"/>
      <c r="AL83" s="350">
        <f>IF(ISERROR(AH83+AJ83),0,(AH83+AJ83))</f>
        <v>0</v>
      </c>
      <c r="AM83" s="354"/>
      <c r="AN83" s="354">
        <v>0</v>
      </c>
      <c r="AO83" s="354"/>
      <c r="AP83" s="391">
        <f>IF($F$13="YES",AF83,AN83)</f>
        <v>0</v>
      </c>
      <c r="AQ83" s="534">
        <f>ABS(SUMIF(V83:AP83,"&gt;0")-SUMIF(V83:AP83,"&lt;0"))</f>
        <v>0</v>
      </c>
      <c r="AR83" s="308"/>
      <c r="AS83" s="345"/>
    </row>
    <row r="84" spans="1:45" ht="3.95" hidden="1" customHeight="1">
      <c r="B84" s="274" t="s">
        <v>31</v>
      </c>
      <c r="N84" s="274"/>
      <c r="P84" s="283"/>
      <c r="R84" s="308"/>
      <c r="S84" s="308"/>
      <c r="T84" s="401"/>
      <c r="U84" s="308"/>
      <c r="V84" s="401"/>
      <c r="W84" s="308"/>
      <c r="X84" s="401"/>
      <c r="Y84" s="308"/>
      <c r="Z84" s="401"/>
      <c r="AA84" s="308"/>
      <c r="AB84" s="383"/>
      <c r="AC84" s="402"/>
      <c r="AD84" s="383"/>
      <c r="AE84" s="402"/>
      <c r="AF84" s="383"/>
      <c r="AG84" s="402"/>
      <c r="AH84" s="383"/>
      <c r="AI84" s="402"/>
      <c r="AJ84" s="383"/>
      <c r="AK84" s="402"/>
      <c r="AL84" s="383"/>
      <c r="AM84" s="402"/>
      <c r="AN84" s="383"/>
      <c r="AO84" s="383"/>
      <c r="AP84" s="383"/>
      <c r="AR84" s="308"/>
      <c r="AS84" s="403"/>
    </row>
    <row r="85" spans="1:45" ht="15" hidden="1" customHeight="1">
      <c r="B85" s="271" t="str">
        <f>IF(AQ85=0,"Hide","Show")</f>
        <v>Hide</v>
      </c>
      <c r="N85" s="274"/>
      <c r="P85" s="283"/>
      <c r="R85" s="417" t="s">
        <v>440</v>
      </c>
      <c r="S85" s="308"/>
      <c r="T85" s="393">
        <f>SUM(T83:T84)</f>
        <v>0</v>
      </c>
      <c r="U85" s="322"/>
      <c r="V85" s="393">
        <f>SUM(V83:V84)</f>
        <v>0</v>
      </c>
      <c r="W85" s="404"/>
      <c r="X85" s="393">
        <f>SUM(X83:X84)</f>
        <v>0</v>
      </c>
      <c r="Y85" s="404"/>
      <c r="Z85" s="393">
        <f>SUM(Z83:Z84)</f>
        <v>0</v>
      </c>
      <c r="AA85" s="404"/>
      <c r="AB85" s="394">
        <f>SUM(AB83:AB84)</f>
        <v>0</v>
      </c>
      <c r="AC85" s="405"/>
      <c r="AD85" s="394">
        <f>SUM(AD83:AD84)</f>
        <v>0</v>
      </c>
      <c r="AE85" s="386"/>
      <c r="AF85" s="394">
        <f>SUM(AF83:AF84)</f>
        <v>0</v>
      </c>
      <c r="AG85" s="405"/>
      <c r="AH85" s="394">
        <f>SUM(AH83:AH84)</f>
        <v>0</v>
      </c>
      <c r="AI85" s="405"/>
      <c r="AJ85" s="394">
        <f>SUM(AJ83:AJ84)</f>
        <v>0</v>
      </c>
      <c r="AK85" s="405"/>
      <c r="AL85" s="394">
        <f>SUM(AL83:AL84)</f>
        <v>0</v>
      </c>
      <c r="AM85" s="405"/>
      <c r="AN85" s="394">
        <f>SUM(AN83:AN84)</f>
        <v>0</v>
      </c>
      <c r="AO85" s="405"/>
      <c r="AP85" s="394">
        <f>SUM(AP83:AP84)</f>
        <v>0</v>
      </c>
      <c r="AQ85" s="534">
        <f>ABS(SUMIF(V85:AP85,"&gt;0")-SUMIF(V85:AP85,"&lt;0"))</f>
        <v>0</v>
      </c>
      <c r="AR85" s="308"/>
      <c r="AS85" s="403"/>
    </row>
    <row r="86" spans="1:45" ht="9.9499999999999993" hidden="1" customHeight="1">
      <c r="B86" s="271" t="str">
        <f>B85</f>
        <v>Hide</v>
      </c>
      <c r="E86" s="336" t="str">
        <f>IF($F$22=0,0,IF(OR($F$14="No",VALUE($F$22)&lt;=399,VALUE($F$22)&gt;499),"500000..564999|566000..579999","500000..552016|552028..552039|552046..564999|566000..579999"))</f>
        <v>500000..564999|566000..579999</v>
      </c>
      <c r="F86" s="300"/>
      <c r="H86" s="429" t="s">
        <v>441</v>
      </c>
      <c r="N86" s="274"/>
      <c r="P86" s="283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402"/>
      <c r="AC86" s="402"/>
      <c r="AD86" s="402"/>
      <c r="AE86" s="402"/>
      <c r="AF86" s="402"/>
      <c r="AG86" s="402"/>
      <c r="AH86" s="402"/>
      <c r="AI86" s="402"/>
      <c r="AJ86" s="402"/>
      <c r="AK86" s="402"/>
      <c r="AL86" s="402"/>
      <c r="AM86" s="402"/>
      <c r="AN86" s="402"/>
      <c r="AO86" s="383"/>
      <c r="AP86" s="402"/>
      <c r="AR86" s="308"/>
      <c r="AS86" s="403"/>
    </row>
    <row r="87" spans="1:45" ht="15" customHeight="1">
      <c r="B87" s="271" t="str">
        <f ca="1">IF(AQ93=0,"Hide","Show")</f>
        <v>Show</v>
      </c>
      <c r="N87" s="274"/>
      <c r="P87" s="283"/>
      <c r="R87" s="414" t="s">
        <v>166</v>
      </c>
      <c r="S87" s="308"/>
      <c r="T87" s="308"/>
      <c r="U87" s="308"/>
      <c r="V87" s="308"/>
      <c r="W87" s="308"/>
      <c r="X87" s="308"/>
      <c r="Y87" s="308"/>
      <c r="Z87" s="308"/>
      <c r="AA87" s="308"/>
      <c r="AB87" s="402"/>
      <c r="AC87" s="402"/>
      <c r="AD87" s="402"/>
      <c r="AE87" s="402"/>
      <c r="AF87" s="402"/>
      <c r="AG87" s="402"/>
      <c r="AH87" s="402"/>
      <c r="AI87" s="402"/>
      <c r="AJ87" s="402"/>
      <c r="AK87" s="402"/>
      <c r="AL87" s="402"/>
      <c r="AM87" s="402"/>
      <c r="AN87" s="402"/>
      <c r="AO87" s="383"/>
      <c r="AP87" s="402"/>
      <c r="AR87" s="308"/>
      <c r="AS87" s="403"/>
    </row>
    <row r="88" spans="1:45" ht="15.6" customHeight="1">
      <c r="A88" s="271" t="s">
        <v>236</v>
      </c>
      <c r="B88" s="271" t="str">
        <f t="shared" ref="B88:B91" ca="1" si="23">IF(AQ88=0,"Hide","Show")</f>
        <v>Show</v>
      </c>
      <c r="K88" s="337" t="s">
        <v>486</v>
      </c>
      <c r="L88" s="275" t="str">
        <f t="shared" ref="L88:L91" si="24">$F$22</f>
        <v>203</v>
      </c>
      <c r="M88" s="275" t="str">
        <f t="shared" ref="M88:M91" si="25">$J$7</f>
        <v>10/1/2016..9/30/2017</v>
      </c>
      <c r="N88" s="274" t="str">
        <f t="shared" ref="N88:N91" si="26">$D$6</f>
        <v>HARMONY CDD</v>
      </c>
      <c r="O88" s="387" t="str">
        <f t="shared" ref="O88:O91" si="27">IF(K88="","500000 51799",K88&amp;" "&amp;"51799")</f>
        <v>571001 51799</v>
      </c>
      <c r="P88" s="283" t="str">
        <f t="shared" ref="P88:P91" si="28">K88</f>
        <v>571001</v>
      </c>
      <c r="R88" s="389" t="s">
        <v>487</v>
      </c>
      <c r="S88" s="308"/>
      <c r="T88" s="428">
        <v>0</v>
      </c>
      <c r="U88" s="401"/>
      <c r="V88" s="428">
        <v>0</v>
      </c>
      <c r="W88" s="349"/>
      <c r="X88" s="428">
        <v>0</v>
      </c>
      <c r="Y88" s="349"/>
      <c r="Z88" s="428">
        <v>0</v>
      </c>
      <c r="AA88" s="349"/>
      <c r="AB88" s="354">
        <v>260000</v>
      </c>
      <c r="AC88" s="351"/>
      <c r="AD88" s="354">
        <v>0</v>
      </c>
      <c r="AE88" s="354"/>
      <c r="AF88" s="354">
        <v>520000</v>
      </c>
      <c r="AG88" s="354"/>
      <c r="AH88" s="354">
        <f ca="1">IF(TODAY()&gt;'Amort 2014'!B13,'Amort 2014'!D13,0)</f>
        <v>520000</v>
      </c>
      <c r="AI88" s="354"/>
      <c r="AJ88" s="391">
        <f ca="1">AF88-AH88</f>
        <v>0</v>
      </c>
      <c r="AK88" s="354"/>
      <c r="AL88" s="350">
        <f t="shared" ref="AL88:AL91" ca="1" si="29">IF(ISERROR(AH88+AJ88),0,(AH88+AJ88))</f>
        <v>520000</v>
      </c>
      <c r="AM88" s="354"/>
      <c r="AN88" s="354">
        <v>0</v>
      </c>
      <c r="AO88" s="354"/>
      <c r="AP88" s="391">
        <f>'Amort 2014'!D15</f>
        <v>535000</v>
      </c>
      <c r="AQ88" s="534">
        <f t="shared" ref="AQ88:AQ91" ca="1" si="30">ABS(SUMIF(V88:AP88,"&gt;0")-SUMIF(V88:AP88,"&lt;0"))</f>
        <v>2355000</v>
      </c>
      <c r="AR88" s="308"/>
      <c r="AS88" s="345"/>
    </row>
    <row r="89" spans="1:45" ht="15.6" customHeight="1">
      <c r="A89" s="271" t="s">
        <v>311</v>
      </c>
      <c r="B89" s="271" t="str">
        <f t="shared" si="23"/>
        <v>Show</v>
      </c>
      <c r="K89" s="337" t="str">
        <f>"571006"</f>
        <v>571006</v>
      </c>
      <c r="L89" s="275" t="str">
        <f t="shared" si="24"/>
        <v>203</v>
      </c>
      <c r="M89" s="275" t="str">
        <f t="shared" si="25"/>
        <v>10/1/2016..9/30/2017</v>
      </c>
      <c r="N89" s="274" t="str">
        <f t="shared" si="26"/>
        <v>HARMONY CDD</v>
      </c>
      <c r="O89" s="387" t="str">
        <f t="shared" si="27"/>
        <v>571006 51799</v>
      </c>
      <c r="P89" s="283" t="str">
        <f t="shared" si="28"/>
        <v>571006</v>
      </c>
      <c r="R89" s="389" t="s">
        <v>488</v>
      </c>
      <c r="S89" s="308"/>
      <c r="T89" s="428">
        <v>70000</v>
      </c>
      <c r="U89" s="401"/>
      <c r="V89" s="428">
        <v>0</v>
      </c>
      <c r="W89" s="349"/>
      <c r="X89" s="428">
        <v>0</v>
      </c>
      <c r="Y89" s="349"/>
      <c r="Z89" s="428">
        <v>0</v>
      </c>
      <c r="AA89" s="349"/>
      <c r="AB89" s="354">
        <v>185000</v>
      </c>
      <c r="AC89" s="351"/>
      <c r="AD89" s="354">
        <v>0</v>
      </c>
      <c r="AE89" s="354"/>
      <c r="AF89" s="354">
        <v>0</v>
      </c>
      <c r="AG89" s="354"/>
      <c r="AH89" s="354">
        <v>85000</v>
      </c>
      <c r="AI89" s="354"/>
      <c r="AJ89" s="391">
        <v>0</v>
      </c>
      <c r="AK89" s="354"/>
      <c r="AL89" s="350">
        <f t="shared" si="29"/>
        <v>85000</v>
      </c>
      <c r="AM89" s="354"/>
      <c r="AN89" s="354">
        <v>0</v>
      </c>
      <c r="AO89" s="354"/>
      <c r="AP89" s="391">
        <f>IF($F$13="YES",AF89,AN89)</f>
        <v>0</v>
      </c>
      <c r="AQ89" s="534">
        <f t="shared" si="30"/>
        <v>355000</v>
      </c>
      <c r="AR89" s="308"/>
      <c r="AS89" s="345"/>
    </row>
    <row r="90" spans="1:45" ht="15.6" customHeight="1">
      <c r="A90" s="271" t="s">
        <v>311</v>
      </c>
      <c r="B90" s="271" t="str">
        <f t="shared" ca="1" si="23"/>
        <v>Show</v>
      </c>
      <c r="K90" s="337" t="str">
        <f>"572001"</f>
        <v>572001</v>
      </c>
      <c r="L90" s="275" t="str">
        <f t="shared" si="24"/>
        <v>203</v>
      </c>
      <c r="M90" s="275" t="str">
        <f t="shared" si="25"/>
        <v>10/1/2016..9/30/2017</v>
      </c>
      <c r="N90" s="274" t="str">
        <f t="shared" si="26"/>
        <v>HARMONY CDD</v>
      </c>
      <c r="O90" s="387" t="str">
        <f t="shared" si="27"/>
        <v>572001 51799</v>
      </c>
      <c r="P90" s="283" t="str">
        <f t="shared" si="28"/>
        <v>572001</v>
      </c>
      <c r="R90" s="389" t="s">
        <v>443</v>
      </c>
      <c r="S90" s="308"/>
      <c r="T90" s="428">
        <v>346250</v>
      </c>
      <c r="U90" s="401"/>
      <c r="V90" s="428">
        <v>0</v>
      </c>
      <c r="W90" s="349"/>
      <c r="X90" s="428">
        <v>0</v>
      </c>
      <c r="Y90" s="349"/>
      <c r="Z90" s="428">
        <v>0</v>
      </c>
      <c r="AA90" s="349"/>
      <c r="AB90" s="354">
        <v>597819</v>
      </c>
      <c r="AC90" s="351"/>
      <c r="AD90" s="354">
        <v>0</v>
      </c>
      <c r="AE90" s="354"/>
      <c r="AF90" s="354">
        <v>692350</v>
      </c>
      <c r="AG90" s="354"/>
      <c r="AH90" s="354">
        <f ca="1">356250+IF(TODAY()&gt;'Amort 2014'!B13,'Amort 2014'!F13,0)</f>
        <v>690700</v>
      </c>
      <c r="AI90" s="354"/>
      <c r="AJ90" s="391">
        <f ca="1">AF90-1650-AH90</f>
        <v>0</v>
      </c>
      <c r="AK90" s="354"/>
      <c r="AL90" s="350">
        <f t="shared" ca="1" si="29"/>
        <v>690700</v>
      </c>
      <c r="AM90" s="354"/>
      <c r="AN90" s="354">
        <v>0</v>
      </c>
      <c r="AO90" s="354"/>
      <c r="AP90" s="391">
        <f>'Amort 2014'!F14+'Amort 2014'!F15</f>
        <v>662125</v>
      </c>
      <c r="AQ90" s="534">
        <f t="shared" ca="1" si="30"/>
        <v>3333694</v>
      </c>
      <c r="AR90" s="308"/>
      <c r="AS90" s="345"/>
    </row>
    <row r="91" spans="1:45" ht="15.6" hidden="1" customHeight="1">
      <c r="A91" s="271" t="s">
        <v>311</v>
      </c>
      <c r="B91" s="271" t="str">
        <f t="shared" si="23"/>
        <v>Hide</v>
      </c>
      <c r="K91" s="337" t="str">
        <f>"573005"</f>
        <v>573005</v>
      </c>
      <c r="L91" s="275" t="str">
        <f t="shared" si="24"/>
        <v>203</v>
      </c>
      <c r="M91" s="275" t="str">
        <f t="shared" si="25"/>
        <v>10/1/2016..9/30/2017</v>
      </c>
      <c r="N91" s="274" t="str">
        <f t="shared" si="26"/>
        <v>HARMONY CDD</v>
      </c>
      <c r="O91" s="387" t="str">
        <f t="shared" si="27"/>
        <v>573005 51799</v>
      </c>
      <c r="P91" s="283" t="str">
        <f t="shared" si="28"/>
        <v>573005</v>
      </c>
      <c r="R91" s="389" t="s">
        <v>536</v>
      </c>
      <c r="S91" s="308"/>
      <c r="T91" s="428">
        <v>0</v>
      </c>
      <c r="U91" s="401"/>
      <c r="V91" s="428">
        <v>0</v>
      </c>
      <c r="W91" s="349"/>
      <c r="X91" s="428">
        <v>0</v>
      </c>
      <c r="Y91" s="349"/>
      <c r="Z91" s="428">
        <v>0</v>
      </c>
      <c r="AA91" s="349"/>
      <c r="AB91" s="354">
        <v>0</v>
      </c>
      <c r="AC91" s="351"/>
      <c r="AD91" s="354">
        <v>0</v>
      </c>
      <c r="AE91" s="354"/>
      <c r="AF91" s="354">
        <v>0</v>
      </c>
      <c r="AG91" s="354"/>
      <c r="AH91" s="354">
        <v>0</v>
      </c>
      <c r="AI91" s="354"/>
      <c r="AJ91" s="391">
        <v>0</v>
      </c>
      <c r="AK91" s="354"/>
      <c r="AL91" s="350">
        <f t="shared" si="29"/>
        <v>0</v>
      </c>
      <c r="AM91" s="354"/>
      <c r="AN91" s="354">
        <v>0</v>
      </c>
      <c r="AO91" s="354"/>
      <c r="AP91" s="391">
        <f>IF($F$13="YES",AF91,AN91)</f>
        <v>0</v>
      </c>
      <c r="AQ91" s="534">
        <f t="shared" si="30"/>
        <v>0</v>
      </c>
      <c r="AR91" s="308"/>
      <c r="AS91" s="345"/>
    </row>
    <row r="92" spans="1:45" ht="3.95" hidden="1" customHeight="1">
      <c r="B92" s="274" t="s">
        <v>31</v>
      </c>
      <c r="N92" s="274"/>
      <c r="P92" s="283"/>
      <c r="R92" s="308"/>
      <c r="S92" s="308"/>
      <c r="T92" s="401"/>
      <c r="U92" s="308"/>
      <c r="V92" s="401"/>
      <c r="W92" s="308"/>
      <c r="X92" s="401"/>
      <c r="Y92" s="308"/>
      <c r="Z92" s="401"/>
      <c r="AA92" s="308"/>
      <c r="AB92" s="383"/>
      <c r="AC92" s="402"/>
      <c r="AD92" s="383"/>
      <c r="AE92" s="402"/>
      <c r="AF92" s="383"/>
      <c r="AG92" s="402"/>
      <c r="AH92" s="383"/>
      <c r="AI92" s="402"/>
      <c r="AJ92" s="383"/>
      <c r="AK92" s="402"/>
      <c r="AL92" s="383"/>
      <c r="AM92" s="402"/>
      <c r="AN92" s="383"/>
      <c r="AO92" s="383"/>
      <c r="AP92" s="383"/>
      <c r="AR92" s="308"/>
      <c r="AS92" s="403"/>
    </row>
    <row r="93" spans="1:45" ht="15" customHeight="1">
      <c r="B93" s="271" t="str">
        <f ca="1">IF(AQ93=0,"Hide","Show")</f>
        <v>Show</v>
      </c>
      <c r="N93" s="274"/>
      <c r="P93" s="283"/>
      <c r="R93" s="430" t="s">
        <v>444</v>
      </c>
      <c r="S93" s="308"/>
      <c r="T93" s="393">
        <f>SUM(T88:T92)</f>
        <v>416250</v>
      </c>
      <c r="U93" s="322"/>
      <c r="V93" s="393">
        <f>SUM(V88:V92)</f>
        <v>0</v>
      </c>
      <c r="W93" s="404"/>
      <c r="X93" s="393">
        <f>SUM(X88:X92)</f>
        <v>0</v>
      </c>
      <c r="Y93" s="404"/>
      <c r="Z93" s="393">
        <f>SUM(Z88:Z92)</f>
        <v>0</v>
      </c>
      <c r="AA93" s="404"/>
      <c r="AB93" s="394">
        <f>SUM(AB88:AB92)</f>
        <v>1042819</v>
      </c>
      <c r="AC93" s="405"/>
      <c r="AD93" s="394">
        <f>SUM(AD88:AD92)</f>
        <v>0</v>
      </c>
      <c r="AE93" s="386"/>
      <c r="AF93" s="394">
        <f>SUM(AF88:AF92)</f>
        <v>1212350</v>
      </c>
      <c r="AG93" s="405"/>
      <c r="AH93" s="394">
        <f ca="1">SUM(AH88:AH92)</f>
        <v>1295700</v>
      </c>
      <c r="AI93" s="405"/>
      <c r="AJ93" s="394">
        <f ca="1">SUM(AJ88:AJ92)</f>
        <v>0</v>
      </c>
      <c r="AK93" s="405"/>
      <c r="AL93" s="394">
        <f ca="1">SUM(AL88:AL92)</f>
        <v>1295700</v>
      </c>
      <c r="AM93" s="405"/>
      <c r="AN93" s="394">
        <f>SUM(AN88:AN92)</f>
        <v>0</v>
      </c>
      <c r="AO93" s="405"/>
      <c r="AP93" s="394">
        <f>SUM(AP88:AP92)</f>
        <v>1197125</v>
      </c>
      <c r="AQ93" s="534">
        <f ca="1">ABS(SUMIF(V93:AP93,"&gt;0")-SUMIF(V93:AP93,"&lt;0"))</f>
        <v>6043694</v>
      </c>
      <c r="AR93" s="308"/>
      <c r="AS93" s="403"/>
    </row>
    <row r="94" spans="1:45" ht="9.9499999999999993" customHeight="1">
      <c r="B94" s="271" t="str">
        <f ca="1">B93</f>
        <v>Show</v>
      </c>
      <c r="N94" s="274"/>
      <c r="P94" s="283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402"/>
      <c r="AC94" s="402"/>
      <c r="AD94" s="402"/>
      <c r="AE94" s="402"/>
      <c r="AF94" s="402"/>
      <c r="AG94" s="402"/>
      <c r="AH94" s="402"/>
      <c r="AI94" s="402"/>
      <c r="AJ94" s="402"/>
      <c r="AK94" s="402"/>
      <c r="AL94" s="402"/>
      <c r="AM94" s="402"/>
      <c r="AN94" s="402"/>
      <c r="AO94" s="383"/>
      <c r="AP94" s="402"/>
      <c r="AR94" s="308"/>
      <c r="AS94" s="403"/>
    </row>
    <row r="95" spans="1:45" ht="15" hidden="1" customHeight="1">
      <c r="B95" s="271" t="str">
        <f>IF(AQ95=0,"Hide","Show")</f>
        <v>Hide</v>
      </c>
      <c r="N95" s="274"/>
      <c r="P95" s="283"/>
      <c r="R95" s="368" t="str">
        <f>IF(AND($F$22&gt;"399",$F$22&lt;"500"),"TOTAL OPERATING EXPENSES","TOTAL EXPENDITURES")</f>
        <v>TOTAL EXPENDITURES</v>
      </c>
      <c r="S95" s="431"/>
      <c r="T95" s="370">
        <f>IF($F$6="no",0,SUM(T93+T85+T80+T68))</f>
        <v>0</v>
      </c>
      <c r="U95" s="431"/>
      <c r="V95" s="370">
        <f>IF($F$6="no",0,SUM(V93+V85+V80+V68))</f>
        <v>0</v>
      </c>
      <c r="W95" s="431"/>
      <c r="X95" s="370">
        <f>IF($F$6="no",0,SUM(X93+X85+X80+X68))</f>
        <v>0</v>
      </c>
      <c r="Y95" s="431"/>
      <c r="Z95" s="370">
        <f>IF($F$6="no",0,SUM(Z93+Z85+Z80+Z68))</f>
        <v>0</v>
      </c>
      <c r="AA95" s="431"/>
      <c r="AB95" s="372">
        <f>IF($F$6="no",0,SUM(AB93+AB85+AB80+AB68))</f>
        <v>0</v>
      </c>
      <c r="AC95" s="374"/>
      <c r="AD95" s="372">
        <f>IF($F$6="no",0,SUM(AD93+AD85+AD80+AD68))</f>
        <v>0</v>
      </c>
      <c r="AE95" s="374"/>
      <c r="AF95" s="372">
        <f>IF($F$6="no",0,SUM(AF93+AF85+AF80+AF68))</f>
        <v>0</v>
      </c>
      <c r="AG95" s="374"/>
      <c r="AH95" s="372">
        <f>IF($F$6="no",0,SUM(AH93+AH85+AH80+AH68))</f>
        <v>0</v>
      </c>
      <c r="AI95" s="374"/>
      <c r="AJ95" s="372">
        <f>IF($F$6="no",0,SUM(AJ93+AJ85+AJ80+AJ68))</f>
        <v>0</v>
      </c>
      <c r="AK95" s="374"/>
      <c r="AL95" s="372">
        <f>IF($F$6="no",0,SUM(AL93+AL85+AL80+AL68))</f>
        <v>0</v>
      </c>
      <c r="AM95" s="374"/>
      <c r="AN95" s="372">
        <f>IF($F$6="no",0,SUM(AN93+AN85+AN80+AN68))</f>
        <v>0</v>
      </c>
      <c r="AO95" s="372"/>
      <c r="AP95" s="375">
        <f>IF($F$6="no",0,SUM(AP93+AP85+AP80+AP68))</f>
        <v>0</v>
      </c>
      <c r="AQ95" s="534">
        <f>ABS(SUMIF(V95:AP95,"&gt;0")-SUMIF(V95:AP95,"&lt;0"))</f>
        <v>0</v>
      </c>
      <c r="AR95" s="308"/>
      <c r="AS95" s="403"/>
    </row>
    <row r="96" spans="1:45" ht="9.9499999999999993" hidden="1" customHeight="1">
      <c r="B96" s="271" t="str">
        <f>B95</f>
        <v>Hide</v>
      </c>
      <c r="E96" s="336" t="str">
        <f>IF($F$22=0,0,IF(OR($F$14="No",VALUE($F$22)&lt;=399,VALUE($F$22)&gt;499),"500000..564999|566000..579999","500000..552016|552028..552039|552046..564999|566000..579999"))</f>
        <v>500000..564999|566000..579999</v>
      </c>
      <c r="F96" s="300"/>
      <c r="H96" s="433">
        <v>58100</v>
      </c>
      <c r="N96" s="274"/>
      <c r="P96" s="283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402"/>
      <c r="AC96" s="402"/>
      <c r="AD96" s="402"/>
      <c r="AE96" s="402"/>
      <c r="AF96" s="402"/>
      <c r="AG96" s="402"/>
      <c r="AH96" s="402"/>
      <c r="AI96" s="402"/>
      <c r="AJ96" s="402"/>
      <c r="AK96" s="402"/>
      <c r="AL96" s="402"/>
      <c r="AM96" s="402"/>
      <c r="AN96" s="402"/>
      <c r="AO96" s="383"/>
      <c r="AP96" s="402"/>
      <c r="AR96" s="308"/>
      <c r="AS96" s="403"/>
    </row>
    <row r="97" spans="1:45" ht="15" hidden="1" customHeight="1">
      <c r="B97" s="271" t="str">
        <f>IF(AQ100=0,"Hide","Show")</f>
        <v>Hide</v>
      </c>
      <c r="N97" s="274"/>
      <c r="P97" s="283"/>
      <c r="R97" s="414" t="s">
        <v>445</v>
      </c>
      <c r="S97" s="308"/>
      <c r="T97" s="308"/>
      <c r="U97" s="308"/>
      <c r="V97" s="308"/>
      <c r="W97" s="308"/>
      <c r="X97" s="308"/>
      <c r="Y97" s="308"/>
      <c r="Z97" s="308"/>
      <c r="AA97" s="308"/>
      <c r="AB97" s="402"/>
      <c r="AC97" s="402"/>
      <c r="AD97" s="402"/>
      <c r="AE97" s="402"/>
      <c r="AF97" s="402"/>
      <c r="AG97" s="402"/>
      <c r="AH97" s="402"/>
      <c r="AI97" s="402"/>
      <c r="AJ97" s="402"/>
      <c r="AK97" s="402"/>
      <c r="AL97" s="402"/>
      <c r="AM97" s="402"/>
      <c r="AN97" s="402"/>
      <c r="AO97" s="383"/>
      <c r="AP97" s="402"/>
      <c r="AQ97" s="534"/>
      <c r="AR97" s="308"/>
      <c r="AS97" s="403"/>
    </row>
    <row r="98" spans="1:45" ht="15.6" hidden="1" customHeight="1">
      <c r="A98" s="271" t="s">
        <v>236</v>
      </c>
      <c r="B98" s="271" t="str">
        <f>IF(AQ98=0,"Hide","Show")</f>
        <v>Hide</v>
      </c>
      <c r="K98" s="337"/>
      <c r="L98" s="275" t="str">
        <f>$F$22</f>
        <v>203</v>
      </c>
      <c r="M98" s="275" t="str">
        <f>$J$7</f>
        <v>10/1/2016..9/30/2017</v>
      </c>
      <c r="N98" s="274" t="str">
        <f>$D$6</f>
        <v>HARMONY CDD</v>
      </c>
      <c r="O98" s="387" t="str">
        <f>IF(K98="","500000 58100",K98&amp;" "&amp;"58100")</f>
        <v>500000 58100</v>
      </c>
      <c r="P98" s="283">
        <f>K98</f>
        <v>0</v>
      </c>
      <c r="R98" s="389"/>
      <c r="S98" s="308"/>
      <c r="T98" s="428">
        <v>0</v>
      </c>
      <c r="U98" s="401"/>
      <c r="V98" s="428">
        <v>0</v>
      </c>
      <c r="W98" s="349"/>
      <c r="X98" s="428">
        <v>0</v>
      </c>
      <c r="Y98" s="349"/>
      <c r="Z98" s="428">
        <v>0</v>
      </c>
      <c r="AA98" s="349"/>
      <c r="AB98" s="354">
        <v>0</v>
      </c>
      <c r="AC98" s="351"/>
      <c r="AD98" s="354">
        <v>0</v>
      </c>
      <c r="AE98" s="354"/>
      <c r="AF98" s="354">
        <v>0</v>
      </c>
      <c r="AG98" s="354"/>
      <c r="AH98" s="354">
        <v>0</v>
      </c>
      <c r="AI98" s="354"/>
      <c r="AJ98" s="391">
        <v>0</v>
      </c>
      <c r="AK98" s="354"/>
      <c r="AL98" s="350">
        <f>IF(ISERROR(AH98+AJ98),0,(AH98+AJ98))</f>
        <v>0</v>
      </c>
      <c r="AM98" s="354"/>
      <c r="AN98" s="354">
        <v>0</v>
      </c>
      <c r="AO98" s="354"/>
      <c r="AP98" s="391">
        <f>IF($F$13="YES",AF98,AN98)</f>
        <v>0</v>
      </c>
      <c r="AQ98" s="534">
        <f>ABS(SUMIF(V98:AP98,"&gt;0")-SUMIF(V98:AP98,"&lt;0"))</f>
        <v>0</v>
      </c>
      <c r="AR98" s="308"/>
      <c r="AS98" s="345"/>
    </row>
    <row r="99" spans="1:45" ht="3.95" hidden="1" customHeight="1">
      <c r="B99" s="274" t="s">
        <v>31</v>
      </c>
      <c r="P99" s="283"/>
      <c r="R99" s="308"/>
      <c r="S99" s="308"/>
      <c r="T99" s="401"/>
      <c r="U99" s="308"/>
      <c r="V99" s="401"/>
      <c r="W99" s="308"/>
      <c r="X99" s="401"/>
      <c r="Y99" s="308"/>
      <c r="Z99" s="401"/>
      <c r="AA99" s="308"/>
      <c r="AB99" s="383"/>
      <c r="AC99" s="402"/>
      <c r="AD99" s="383"/>
      <c r="AE99" s="402"/>
      <c r="AF99" s="383"/>
      <c r="AG99" s="402"/>
      <c r="AH99" s="383"/>
      <c r="AI99" s="402"/>
      <c r="AJ99" s="383"/>
      <c r="AK99" s="402"/>
      <c r="AL99" s="383"/>
      <c r="AM99" s="402"/>
      <c r="AN99" s="383"/>
      <c r="AO99" s="383"/>
      <c r="AP99" s="383"/>
      <c r="AR99" s="308"/>
      <c r="AS99" s="403"/>
    </row>
    <row r="100" spans="1:45" hidden="1">
      <c r="B100" s="271" t="str">
        <f>IF(AQ100=0,"Hide","Show")</f>
        <v>Hide</v>
      </c>
      <c r="P100" s="283"/>
      <c r="R100" s="417" t="s">
        <v>448</v>
      </c>
      <c r="S100" s="322"/>
      <c r="T100" s="393">
        <f>SUM(T98:T99)</f>
        <v>0</v>
      </c>
      <c r="U100" s="322"/>
      <c r="V100" s="393">
        <f>SUM(V98:V99)</f>
        <v>0</v>
      </c>
      <c r="W100" s="404"/>
      <c r="X100" s="393">
        <f>SUM(X98:X99)</f>
        <v>0</v>
      </c>
      <c r="Y100" s="404"/>
      <c r="Z100" s="393">
        <f>SUM(Z98:Z99)</f>
        <v>0</v>
      </c>
      <c r="AA100" s="404"/>
      <c r="AB100" s="394">
        <f>SUM(AB98:AB99)</f>
        <v>0</v>
      </c>
      <c r="AC100" s="405"/>
      <c r="AD100" s="394">
        <f>SUM(AD98:AD99)</f>
        <v>0</v>
      </c>
      <c r="AE100" s="386"/>
      <c r="AF100" s="394">
        <f>SUM(AF98:AF99)</f>
        <v>0</v>
      </c>
      <c r="AG100" s="405"/>
      <c r="AH100" s="394">
        <f>SUM(AH98:AH99)</f>
        <v>0</v>
      </c>
      <c r="AI100" s="405"/>
      <c r="AJ100" s="394">
        <f>SUM(AJ98:AJ99)</f>
        <v>0</v>
      </c>
      <c r="AK100" s="405"/>
      <c r="AL100" s="394">
        <f>SUM(AL98:AL99)</f>
        <v>0</v>
      </c>
      <c r="AM100" s="405"/>
      <c r="AN100" s="394">
        <f>SUM(AN98:AN99)</f>
        <v>0</v>
      </c>
      <c r="AO100" s="405"/>
      <c r="AP100" s="394">
        <f>SUM(AP98:AP99)</f>
        <v>0</v>
      </c>
      <c r="AQ100" s="534">
        <f>ABS(SUMIF(V100:AP100,"&gt;0")-SUMIF(V100:AP100,"&lt;0"))</f>
        <v>0</v>
      </c>
      <c r="AR100" s="308"/>
      <c r="AS100" s="434"/>
    </row>
    <row r="101" spans="1:45" ht="9.9499999999999993" hidden="1" customHeight="1">
      <c r="B101" s="271" t="str">
        <f>B100</f>
        <v>Hide</v>
      </c>
      <c r="P101" s="283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402"/>
      <c r="AL101" s="402"/>
      <c r="AM101" s="402"/>
      <c r="AN101" s="402"/>
      <c r="AO101" s="383"/>
      <c r="AP101" s="402"/>
      <c r="AR101" s="308"/>
      <c r="AS101" s="434"/>
    </row>
    <row r="102" spans="1:45" ht="15" customHeight="1">
      <c r="B102" s="271" t="s">
        <v>62</v>
      </c>
      <c r="N102" s="436" t="str">
        <f>IF(AQ100=0,""," &amp; RESERVES")</f>
        <v/>
      </c>
      <c r="P102" s="283"/>
      <c r="R102" s="368" t="str">
        <f>TRIM(IF(AND($F$22&gt;"399",$F$22&lt;"500"),"TOTAL OPERATING EXPENSES"&amp;N102,"TOTAL EXPENDITURES"&amp;N102))</f>
        <v>TOTAL EXPENDITURES</v>
      </c>
      <c r="S102" s="431"/>
      <c r="T102" s="370">
        <f>SUM(T93+T85+T80+T68+T100)</f>
        <v>434385</v>
      </c>
      <c r="U102" s="431"/>
      <c r="V102" s="370">
        <f>SUM(V93+V85+V80+V68+V100)</f>
        <v>0</v>
      </c>
      <c r="W102" s="431"/>
      <c r="X102" s="370">
        <f>SUM(X93+X85+X80+X68+X100)</f>
        <v>0</v>
      </c>
      <c r="Y102" s="431"/>
      <c r="Z102" s="370">
        <f>SUM(Z93+Z85+Z80+Z68+Z100)</f>
        <v>0</v>
      </c>
      <c r="AA102" s="431"/>
      <c r="AB102" s="372">
        <f>SUM(AB93+AB85+AB80+AB68+AB100)</f>
        <v>1057197</v>
      </c>
      <c r="AC102" s="374"/>
      <c r="AD102" s="372">
        <f>SUM(AD93+AD85+AD80+AD68+AD100)</f>
        <v>0</v>
      </c>
      <c r="AE102" s="374"/>
      <c r="AF102" s="372">
        <f>SUM(AF93+AF85+AF80+AF68+AF100)</f>
        <v>1236499</v>
      </c>
      <c r="AG102" s="374"/>
      <c r="AH102" s="372">
        <f ca="1">SUM(AH93+AH85+AH80+AH68+AH100)</f>
        <v>1318473</v>
      </c>
      <c r="AI102" s="374"/>
      <c r="AJ102" s="372">
        <f ca="1">SUM(AJ93+AJ85+AJ80+AJ68+AJ100)</f>
        <v>664</v>
      </c>
      <c r="AK102" s="374"/>
      <c r="AL102" s="372">
        <f ca="1">SUM(AL93+AL85+AL80+AL68+AL100)</f>
        <v>1319137</v>
      </c>
      <c r="AM102" s="374"/>
      <c r="AN102" s="372">
        <f>SUM(AN93+AN85+AN80+AN68+AN100)</f>
        <v>0</v>
      </c>
      <c r="AO102" s="372"/>
      <c r="AP102" s="375">
        <f>SUM(AP93+AP85+AP80+AP68+AP100)</f>
        <v>1220650</v>
      </c>
      <c r="AQ102" s="534">
        <f ca="1">ABS(SUMIF(V102:AP102,"&gt;0")-SUMIF(V102:AP102,"&lt;0"))</f>
        <v>6152620</v>
      </c>
      <c r="AR102" s="308"/>
      <c r="AS102" s="434"/>
    </row>
    <row r="103" spans="1:45" ht="15.6" customHeight="1">
      <c r="B103" s="271" t="s">
        <v>62</v>
      </c>
      <c r="E103" s="376"/>
      <c r="F103" s="271"/>
      <c r="G103" s="271"/>
      <c r="H103" s="271"/>
      <c r="K103" s="377"/>
      <c r="L103" s="280"/>
      <c r="M103" s="280"/>
      <c r="O103" s="280"/>
      <c r="P103" s="280"/>
      <c r="Q103" s="320"/>
      <c r="R103" s="378" t="s">
        <v>333</v>
      </c>
      <c r="S103" s="379"/>
      <c r="T103" s="380"/>
      <c r="U103" s="379"/>
      <c r="V103" s="380"/>
      <c r="W103" s="379"/>
      <c r="X103" s="380"/>
      <c r="Y103" s="379"/>
      <c r="Z103" s="380"/>
      <c r="AA103" s="379"/>
      <c r="AB103" s="381"/>
      <c r="AC103" s="382"/>
      <c r="AD103" s="381"/>
      <c r="AE103" s="383"/>
      <c r="AF103" s="381"/>
      <c r="AG103" s="383"/>
      <c r="AH103" s="381"/>
      <c r="AI103" s="383"/>
      <c r="AJ103" s="381"/>
      <c r="AK103" s="383"/>
      <c r="AL103" s="384">
        <f ca="1">AF102-AL102</f>
        <v>-82638</v>
      </c>
      <c r="AM103" s="381"/>
      <c r="AN103" s="381"/>
      <c r="AO103" s="381"/>
      <c r="AP103" s="381"/>
      <c r="AQ103" s="686"/>
      <c r="AR103" s="308"/>
      <c r="AS103" s="385" t="s">
        <v>449</v>
      </c>
    </row>
    <row r="104" spans="1:45" ht="9.9499999999999993" customHeight="1">
      <c r="P104" s="283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402"/>
      <c r="AC104" s="402"/>
      <c r="AD104" s="402"/>
      <c r="AE104" s="402"/>
      <c r="AF104" s="402"/>
      <c r="AG104" s="402"/>
      <c r="AH104" s="402"/>
      <c r="AI104" s="402"/>
      <c r="AJ104" s="402"/>
      <c r="AK104" s="402"/>
      <c r="AL104" s="402"/>
      <c r="AM104" s="402"/>
      <c r="AN104" s="402"/>
      <c r="AO104" s="383"/>
      <c r="AP104" s="402"/>
      <c r="AR104" s="308"/>
      <c r="AS104" s="434"/>
    </row>
    <row r="105" spans="1:45" s="314" customFormat="1" ht="15" customHeight="1">
      <c r="B105" s="314" t="str">
        <f>IF(R105="","Hide","Show")</f>
        <v>Show</v>
      </c>
      <c r="K105" s="687"/>
      <c r="P105" s="320"/>
      <c r="R105" s="442" t="str">
        <f>IF(AND($F$22&gt;"399",$F$22&lt;"500"),"","Excess (deficiency) of revenues")</f>
        <v>Excess (deficiency) of revenues</v>
      </c>
      <c r="S105" s="315"/>
      <c r="T105" s="315"/>
      <c r="U105" s="315"/>
      <c r="AB105" s="443">
        <f>SUM(AB52-AB102-AB58)</f>
        <v>337388</v>
      </c>
      <c r="AC105" s="444"/>
      <c r="AD105" s="444"/>
      <c r="AE105" s="444"/>
      <c r="AF105" s="444">
        <f>SUM(AF52-AF102-AF58)</f>
        <v>-13774</v>
      </c>
      <c r="AG105" s="444"/>
      <c r="AH105" s="444">
        <f ca="1">SUM(AH52-AH102-AH58)</f>
        <v>-51978</v>
      </c>
      <c r="AI105" s="444"/>
      <c r="AJ105" s="444">
        <f ca="1">SUM(AJ52-AJ102-AJ58)</f>
        <v>32604</v>
      </c>
      <c r="AK105" s="444"/>
      <c r="AL105" s="444">
        <f ca="1">SUM(AL52-AL102-AL58)</f>
        <v>-19374</v>
      </c>
      <c r="AM105" s="444"/>
      <c r="AN105" s="444"/>
      <c r="AO105" s="444"/>
      <c r="AP105" s="445">
        <f>SUM(AP52-AP102-AP58)</f>
        <v>-3627.9447048255242</v>
      </c>
      <c r="AR105" s="315"/>
      <c r="AS105" s="446" t="s">
        <v>537</v>
      </c>
    </row>
    <row r="106" spans="1:45" ht="15" hidden="1" customHeight="1">
      <c r="B106" s="271" t="s">
        <v>62</v>
      </c>
      <c r="P106" s="283"/>
      <c r="R106" s="576" t="str">
        <f>IF(AND($F$22&gt;"399",$F$22&lt;"500"),"Operating income (loss)","Over (under) expenditures")</f>
        <v>Over (under) expenditures</v>
      </c>
      <c r="T106" s="577">
        <f>SUM(T52-T102-T58)</f>
        <v>561385</v>
      </c>
      <c r="V106" s="577">
        <f>SUM(V52-V102-V58)</f>
        <v>0</v>
      </c>
      <c r="W106" s="571"/>
      <c r="X106" s="577">
        <f>SUM(X52-X102-X58)</f>
        <v>0</v>
      </c>
      <c r="Y106" s="571"/>
      <c r="Z106" s="577">
        <f>SUM(Z52-Z102-Z58)</f>
        <v>0</v>
      </c>
      <c r="AA106" s="571"/>
      <c r="AB106" s="688">
        <f>SUM(AB52-AB102-AB58)</f>
        <v>337388</v>
      </c>
      <c r="AC106" s="668"/>
      <c r="AD106" s="688">
        <f>SUM(AD52-AD102-AD58)</f>
        <v>0</v>
      </c>
      <c r="AE106" s="668"/>
      <c r="AF106" s="688">
        <f>SUM(AF52-AF102-AF58)</f>
        <v>-13774</v>
      </c>
      <c r="AG106" s="668"/>
      <c r="AH106" s="688">
        <f ca="1">SUM(AH52-AH102-AH58)</f>
        <v>-51978</v>
      </c>
      <c r="AI106" s="668"/>
      <c r="AJ106" s="688">
        <f ca="1">SUM(AJ52-AJ102-AJ58)</f>
        <v>32604</v>
      </c>
      <c r="AK106" s="668"/>
      <c r="AL106" s="688">
        <f ca="1">SUM(AL52-AL102-AL58)</f>
        <v>-19374</v>
      </c>
      <c r="AM106" s="668"/>
      <c r="AN106" s="688">
        <f>SUM(AN52-AN102-AN58)</f>
        <v>0</v>
      </c>
      <c r="AO106" s="668"/>
      <c r="AP106" s="688">
        <f>SUM(AP52-AP102-AP58)</f>
        <v>-3627.9447048255242</v>
      </c>
      <c r="AQ106" s="534">
        <f ca="1">ABS(SUMIF(V106:AP106,"&gt;0")-SUMIF(V106:AP106,"&lt;0"))</f>
        <v>458745.94470482552</v>
      </c>
      <c r="AR106" s="308"/>
      <c r="AS106" s="434"/>
    </row>
    <row r="107" spans="1:45" ht="9.9499999999999993" customHeight="1">
      <c r="B107" s="271" t="s">
        <v>62</v>
      </c>
      <c r="P107" s="283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02"/>
      <c r="AM107" s="402"/>
      <c r="AN107" s="402"/>
      <c r="AO107" s="383"/>
      <c r="AP107" s="402"/>
      <c r="AR107" s="308"/>
      <c r="AS107" s="434"/>
    </row>
    <row r="108" spans="1:45" ht="12.75" hidden="1" customHeight="1">
      <c r="B108" s="271" t="s">
        <v>31</v>
      </c>
      <c r="P108" s="283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402"/>
      <c r="AC108" s="402"/>
      <c r="AD108" s="402"/>
      <c r="AE108" s="402"/>
      <c r="AF108" s="402"/>
      <c r="AG108" s="402"/>
      <c r="AH108" s="402"/>
      <c r="AI108" s="402"/>
      <c r="AJ108" s="402"/>
      <c r="AK108" s="402"/>
      <c r="AL108" s="402"/>
      <c r="AM108" s="402"/>
      <c r="AN108" s="402"/>
      <c r="AO108" s="383"/>
      <c r="AP108" s="402"/>
      <c r="AR108" s="308"/>
      <c r="AS108" s="434"/>
    </row>
    <row r="109" spans="1:45" ht="12.75" hidden="1" customHeight="1">
      <c r="B109" s="271" t="s">
        <v>31</v>
      </c>
      <c r="E109" s="271"/>
      <c r="F109" s="271"/>
      <c r="H109" s="271"/>
      <c r="P109" s="283"/>
      <c r="R109" s="308"/>
      <c r="S109" s="308"/>
      <c r="T109" s="388">
        <f>IF(AND(VALUE($F$22)&gt;399,VALUE($F$22)&lt;500),0,IF(OR($F$11="NO",T$1="HIDE",T$4="ACTUAL"),0,T106+T117))</f>
        <v>0</v>
      </c>
      <c r="U109" s="308"/>
      <c r="V109" s="388">
        <f>IF(AND(VALUE($F$22)&gt;399,VALUE($F$22)&lt;500),0,IF(OR($F$11="NO",V$1="HIDE",V$4="ACTUAL"),0,V106+V117))</f>
        <v>0</v>
      </c>
      <c r="W109" s="308"/>
      <c r="X109" s="388">
        <f>IF(AND(VALUE($F$22)&gt;399,VALUE($F$22)&lt;500),0,IF(OR($F$11="NO",X$1="HIDE",X$4="ACTUAL"),0,X106+X117))</f>
        <v>0</v>
      </c>
      <c r="Y109" s="308"/>
      <c r="Z109" s="388">
        <f>IF(AND(VALUE($F$22)&gt;399,VALUE($F$22)&lt;500),0,IF(OR($F$11="NO",Z$1="HIDE",Z$4="ACTUAL"),0,Z106+Z117))</f>
        <v>0</v>
      </c>
      <c r="AA109" s="308"/>
      <c r="AB109" s="354">
        <f>IF(AND(VALUE($F$22)&gt;399,VALUE($F$22)&lt;500),0,IF(OR($F$11="NO",AB$1="HIDE",AB$4="ACTUAL"),0,AB106+AB117))</f>
        <v>0</v>
      </c>
      <c r="AC109" s="402"/>
      <c r="AD109" s="354">
        <f>IF(AND(VALUE($F$22)&gt;399,VALUE($F$22)&lt;500),0,IF(OR($F$11="NO",AD$1="HIDE",AD$4="ACTUAL"),0,AD106+AD117))</f>
        <v>0</v>
      </c>
      <c r="AE109" s="402"/>
      <c r="AF109" s="354">
        <f>IF(AND(VALUE($F$22)&gt;399,VALUE($F$22)&lt;500),0,IF(OR($F$11="NO",AF$1="HIDE",AF$4="ACTUAL"),0,AF106+AF117))</f>
        <v>-13774</v>
      </c>
      <c r="AG109" s="402"/>
      <c r="AH109" s="354">
        <f>IF(AND(VALUE($F$22)&gt;399,VALUE($F$22)&lt;500),0,IF(OR($F$11="NO",AH$1="HIDE",AH$4="ACTUAL"),0,AH106+AH117))</f>
        <v>0</v>
      </c>
      <c r="AI109" s="402"/>
      <c r="AJ109" s="354">
        <v>0</v>
      </c>
      <c r="AK109" s="402"/>
      <c r="AL109" s="350">
        <v>0</v>
      </c>
      <c r="AM109" s="350"/>
      <c r="AN109" s="350">
        <f>IF(AND(VALUE($F$22)&gt;399,VALUE($F$22)&lt;500),0,IF(OR($F$11="NO",AN$1="HIDE",AN$4="ACTUAL"),0,AN106+AN117))</f>
        <v>0</v>
      </c>
      <c r="AO109" s="350"/>
      <c r="AP109" s="350">
        <f>IF(AND(VALUE($F$22)&gt;399,VALUE($F$22)&lt;500),0,IF(OR($F$11="NO",AP$1="HIDE",AP$4="ACTUAL"),0,AP106+AP117))</f>
        <v>-3627.9447048255242</v>
      </c>
      <c r="AR109" s="308"/>
      <c r="AS109" s="434"/>
    </row>
    <row r="110" spans="1:45" ht="15" customHeight="1">
      <c r="B110" s="271" t="str">
        <f>IF(OR($F$11="Yes",$AQ118&lt;&gt;0),"Show",IF($AQ118=0,"Hide","Show"))</f>
        <v>Show</v>
      </c>
      <c r="E110" s="300" t="s">
        <v>451</v>
      </c>
      <c r="F110" s="300"/>
      <c r="G110" s="300"/>
      <c r="H110" s="300"/>
      <c r="I110" s="277"/>
      <c r="P110" s="283"/>
      <c r="R110" s="315" t="s">
        <v>452</v>
      </c>
      <c r="S110" s="308"/>
      <c r="T110" s="308"/>
      <c r="U110" s="308"/>
      <c r="V110" s="308"/>
      <c r="W110" s="308"/>
      <c r="X110" s="308"/>
      <c r="Y110" s="308"/>
      <c r="Z110" s="308"/>
      <c r="AA110" s="308"/>
      <c r="AB110" s="402"/>
      <c r="AC110" s="402"/>
      <c r="AD110" s="402"/>
      <c r="AE110" s="402"/>
      <c r="AF110" s="402"/>
      <c r="AG110" s="402"/>
      <c r="AH110" s="402"/>
      <c r="AI110" s="402"/>
      <c r="AJ110" s="402"/>
      <c r="AK110" s="402"/>
      <c r="AL110" s="402"/>
      <c r="AM110" s="402"/>
      <c r="AN110" s="402"/>
      <c r="AO110" s="383"/>
      <c r="AP110" s="402"/>
      <c r="AR110" s="308"/>
      <c r="AS110" s="434"/>
    </row>
    <row r="111" spans="1:45" ht="0.95" customHeight="1">
      <c r="B111" s="274" t="str">
        <f>B110</f>
        <v>Show</v>
      </c>
      <c r="P111" s="283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402"/>
      <c r="AC111" s="402"/>
      <c r="AD111" s="402"/>
      <c r="AE111" s="402"/>
      <c r="AF111" s="402"/>
      <c r="AG111" s="402"/>
      <c r="AH111" s="402"/>
      <c r="AI111" s="402"/>
      <c r="AJ111" s="402"/>
      <c r="AK111" s="402"/>
      <c r="AL111" s="402"/>
      <c r="AM111" s="402"/>
      <c r="AN111" s="402"/>
      <c r="AO111" s="383"/>
      <c r="AP111" s="402"/>
      <c r="AR111" s="308"/>
      <c r="AS111" s="434"/>
    </row>
    <row r="112" spans="1:45" ht="15.6" hidden="1" customHeight="1">
      <c r="A112" s="271" t="s">
        <v>236</v>
      </c>
      <c r="B112" s="271" t="str">
        <f t="shared" ref="B112:B115" si="31">IF(AQ112=0,"Hide","Show")</f>
        <v>Hide</v>
      </c>
      <c r="K112" s="337" t="s">
        <v>453</v>
      </c>
      <c r="L112" s="275" t="str">
        <f t="shared" ref="L112:L115" si="32">$F$22</f>
        <v>203</v>
      </c>
      <c r="M112" s="275" t="str">
        <f t="shared" ref="M112:M115" si="33">$J$7</f>
        <v>10/1/2016..9/30/2017</v>
      </c>
      <c r="N112" s="271" t="str">
        <f t="shared" ref="N112:N115" si="34">$D$6</f>
        <v>HARMONY CDD</v>
      </c>
      <c r="O112" s="387" t="str">
        <f t="shared" ref="O112:O115" si="35">IF(K112="","399998",K112)</f>
        <v>381000</v>
      </c>
      <c r="P112" s="283" t="str">
        <f t="shared" ref="P112:P115" si="36">K112</f>
        <v>381000</v>
      </c>
      <c r="R112" s="389" t="s">
        <v>454</v>
      </c>
      <c r="S112" s="308"/>
      <c r="T112" s="459">
        <v>0</v>
      </c>
      <c r="U112" s="308"/>
      <c r="V112" s="459">
        <v>0</v>
      </c>
      <c r="W112" s="459"/>
      <c r="X112" s="459">
        <v>0</v>
      </c>
      <c r="Y112" s="459"/>
      <c r="Z112" s="459">
        <v>0</v>
      </c>
      <c r="AA112" s="459"/>
      <c r="AB112" s="352">
        <v>0</v>
      </c>
      <c r="AC112" s="352"/>
      <c r="AD112" s="352">
        <v>0</v>
      </c>
      <c r="AE112" s="352"/>
      <c r="AF112" s="352">
        <v>0</v>
      </c>
      <c r="AG112" s="352"/>
      <c r="AH112" s="352">
        <v>0</v>
      </c>
      <c r="AI112" s="352"/>
      <c r="AJ112" s="460">
        <v>0</v>
      </c>
      <c r="AK112" s="352"/>
      <c r="AL112" s="352">
        <f t="shared" ref="AL112:AL115" si="37">IF(ISERROR(AH112+AJ112),0,(AH112+AJ112))</f>
        <v>0</v>
      </c>
      <c r="AM112" s="352"/>
      <c r="AN112" s="352">
        <v>0</v>
      </c>
      <c r="AO112" s="386"/>
      <c r="AP112" s="460">
        <f t="shared" ref="AP112:AP115" si="38">IF($F$13="YES",AF112,AN112)</f>
        <v>0</v>
      </c>
      <c r="AQ112" s="534">
        <f t="shared" ref="AQ112:AQ115" si="39">ABS(SUMIF(V112:AP112,"&gt;0")-SUMIF(V112:AP112,"&lt;0"))</f>
        <v>0</v>
      </c>
      <c r="AR112" s="308"/>
      <c r="AS112" s="458"/>
    </row>
    <row r="113" spans="1:45" ht="15.6" hidden="1" customHeight="1">
      <c r="A113" s="271" t="s">
        <v>311</v>
      </c>
      <c r="B113" s="271" t="str">
        <f t="shared" si="31"/>
        <v>Hide</v>
      </c>
      <c r="K113" s="337" t="str">
        <f>"385000"</f>
        <v>385000</v>
      </c>
      <c r="L113" s="275" t="str">
        <f t="shared" si="32"/>
        <v>203</v>
      </c>
      <c r="M113" s="275" t="str">
        <f t="shared" si="33"/>
        <v>10/1/2016..9/30/2017</v>
      </c>
      <c r="N113" s="271" t="str">
        <f t="shared" si="34"/>
        <v>HARMONY CDD</v>
      </c>
      <c r="O113" s="387" t="str">
        <f t="shared" si="35"/>
        <v>385000</v>
      </c>
      <c r="P113" s="283" t="str">
        <f t="shared" si="36"/>
        <v>385000</v>
      </c>
      <c r="R113" s="389" t="s">
        <v>538</v>
      </c>
      <c r="S113" s="308"/>
      <c r="T113" s="459">
        <v>0</v>
      </c>
      <c r="U113" s="308"/>
      <c r="V113" s="459">
        <v>0</v>
      </c>
      <c r="W113" s="459"/>
      <c r="X113" s="459">
        <v>0</v>
      </c>
      <c r="Y113" s="459"/>
      <c r="Z113" s="459">
        <v>0</v>
      </c>
      <c r="AA113" s="459"/>
      <c r="AB113" s="352">
        <v>0</v>
      </c>
      <c r="AC113" s="352"/>
      <c r="AD113" s="352">
        <v>0</v>
      </c>
      <c r="AE113" s="352"/>
      <c r="AF113" s="352">
        <v>0</v>
      </c>
      <c r="AG113" s="352"/>
      <c r="AH113" s="352">
        <v>0</v>
      </c>
      <c r="AI113" s="352"/>
      <c r="AJ113" s="460">
        <v>0</v>
      </c>
      <c r="AK113" s="352"/>
      <c r="AL113" s="352">
        <f t="shared" si="37"/>
        <v>0</v>
      </c>
      <c r="AM113" s="352"/>
      <c r="AN113" s="352">
        <v>0</v>
      </c>
      <c r="AO113" s="386"/>
      <c r="AP113" s="460">
        <f t="shared" si="38"/>
        <v>0</v>
      </c>
      <c r="AQ113" s="534">
        <f t="shared" si="39"/>
        <v>0</v>
      </c>
      <c r="AR113" s="308"/>
      <c r="AS113" s="458"/>
    </row>
    <row r="114" spans="1:45" ht="15.6" customHeight="1">
      <c r="A114" s="271" t="s">
        <v>311</v>
      </c>
      <c r="B114" s="271" t="str">
        <f t="shared" si="31"/>
        <v>Show</v>
      </c>
      <c r="K114" s="337" t="str">
        <f>"591000"</f>
        <v>591000</v>
      </c>
      <c r="L114" s="275" t="str">
        <f t="shared" si="32"/>
        <v>203</v>
      </c>
      <c r="M114" s="275" t="str">
        <f t="shared" si="33"/>
        <v>10/1/2016..9/30/2017</v>
      </c>
      <c r="N114" s="271" t="str">
        <f t="shared" si="34"/>
        <v>HARMONY CDD</v>
      </c>
      <c r="O114" s="387" t="str">
        <f t="shared" si="35"/>
        <v>591000</v>
      </c>
      <c r="P114" s="283" t="str">
        <f t="shared" si="36"/>
        <v>591000</v>
      </c>
      <c r="R114" s="389" t="s">
        <v>456</v>
      </c>
      <c r="S114" s="308"/>
      <c r="T114" s="459">
        <v>0</v>
      </c>
      <c r="U114" s="308"/>
      <c r="V114" s="459">
        <v>0</v>
      </c>
      <c r="W114" s="459"/>
      <c r="X114" s="459">
        <v>0</v>
      </c>
      <c r="Y114" s="459"/>
      <c r="Z114" s="459">
        <v>0</v>
      </c>
      <c r="AA114" s="459"/>
      <c r="AB114" s="352">
        <v>-56011</v>
      </c>
      <c r="AC114" s="352"/>
      <c r="AD114" s="352">
        <v>0</v>
      </c>
      <c r="AE114" s="352"/>
      <c r="AF114" s="352">
        <v>0</v>
      </c>
      <c r="AG114" s="352"/>
      <c r="AH114" s="352">
        <v>0</v>
      </c>
      <c r="AI114" s="352"/>
      <c r="AJ114" s="460">
        <v>0</v>
      </c>
      <c r="AK114" s="352"/>
      <c r="AL114" s="352">
        <f t="shared" si="37"/>
        <v>0</v>
      </c>
      <c r="AM114" s="352"/>
      <c r="AN114" s="352">
        <v>0</v>
      </c>
      <c r="AO114" s="386"/>
      <c r="AP114" s="460">
        <f t="shared" si="38"/>
        <v>0</v>
      </c>
      <c r="AQ114" s="534">
        <f t="shared" si="39"/>
        <v>56011</v>
      </c>
      <c r="AR114" s="308"/>
      <c r="AS114" s="458"/>
    </row>
    <row r="115" spans="1:45" ht="15.6" hidden="1" customHeight="1">
      <c r="A115" s="271" t="s">
        <v>311</v>
      </c>
      <c r="B115" s="271" t="str">
        <f t="shared" si="31"/>
        <v>Hide</v>
      </c>
      <c r="K115" s="337" t="str">
        <f>"591100"</f>
        <v>591100</v>
      </c>
      <c r="L115" s="275" t="str">
        <f t="shared" si="32"/>
        <v>203</v>
      </c>
      <c r="M115" s="275" t="str">
        <f t="shared" si="33"/>
        <v>10/1/2016..9/30/2017</v>
      </c>
      <c r="N115" s="271" t="str">
        <f t="shared" si="34"/>
        <v>HARMONY CDD</v>
      </c>
      <c r="O115" s="387" t="str">
        <f t="shared" si="35"/>
        <v>591100</v>
      </c>
      <c r="P115" s="283" t="str">
        <f t="shared" si="36"/>
        <v>591100</v>
      </c>
      <c r="R115" s="389" t="s">
        <v>490</v>
      </c>
      <c r="S115" s="308"/>
      <c r="T115" s="459">
        <v>0</v>
      </c>
      <c r="U115" s="308"/>
      <c r="V115" s="459">
        <v>0</v>
      </c>
      <c r="W115" s="459"/>
      <c r="X115" s="459">
        <v>0</v>
      </c>
      <c r="Y115" s="459"/>
      <c r="Z115" s="459">
        <v>0</v>
      </c>
      <c r="AA115" s="459"/>
      <c r="AB115" s="352">
        <v>0</v>
      </c>
      <c r="AC115" s="352"/>
      <c r="AD115" s="352">
        <v>0</v>
      </c>
      <c r="AE115" s="352"/>
      <c r="AF115" s="352">
        <v>0</v>
      </c>
      <c r="AG115" s="352"/>
      <c r="AH115" s="352">
        <v>0</v>
      </c>
      <c r="AI115" s="352"/>
      <c r="AJ115" s="460">
        <v>0</v>
      </c>
      <c r="AK115" s="352"/>
      <c r="AL115" s="352">
        <f t="shared" si="37"/>
        <v>0</v>
      </c>
      <c r="AM115" s="352"/>
      <c r="AN115" s="352">
        <v>0</v>
      </c>
      <c r="AO115" s="386"/>
      <c r="AP115" s="460">
        <f t="shared" si="38"/>
        <v>0</v>
      </c>
      <c r="AQ115" s="534">
        <f t="shared" si="39"/>
        <v>0</v>
      </c>
      <c r="AR115" s="308"/>
      <c r="AS115" s="458"/>
    </row>
    <row r="116" spans="1:45" ht="7.5" hidden="1" customHeight="1">
      <c r="B116" s="271" t="s">
        <v>31</v>
      </c>
      <c r="P116" s="283"/>
      <c r="R116" s="389"/>
      <c r="S116" s="308"/>
      <c r="T116" s="459"/>
      <c r="U116" s="308"/>
      <c r="V116" s="459"/>
      <c r="W116" s="459"/>
      <c r="X116" s="459"/>
      <c r="Y116" s="459"/>
      <c r="Z116" s="459"/>
      <c r="AA116" s="459"/>
      <c r="AB116" s="352"/>
      <c r="AC116" s="352"/>
      <c r="AD116" s="352"/>
      <c r="AE116" s="352"/>
      <c r="AF116" s="352"/>
      <c r="AG116" s="352"/>
      <c r="AH116" s="352"/>
      <c r="AI116" s="352"/>
      <c r="AJ116" s="352"/>
      <c r="AK116" s="352"/>
      <c r="AL116" s="352"/>
      <c r="AM116" s="352"/>
      <c r="AN116" s="352"/>
      <c r="AO116" s="386"/>
      <c r="AP116" s="352"/>
      <c r="AQ116" s="534"/>
      <c r="AR116" s="308"/>
      <c r="AS116" s="434"/>
    </row>
    <row r="117" spans="1:45" ht="15" hidden="1" customHeight="1">
      <c r="B117" s="271" t="s">
        <v>31</v>
      </c>
      <c r="P117" s="283"/>
      <c r="R117" s="308"/>
      <c r="S117" s="308"/>
      <c r="T117" s="388">
        <f>SUM(T111:T116)</f>
        <v>0</v>
      </c>
      <c r="U117" s="308"/>
      <c r="V117" s="388">
        <f>SUM(V111:V116)</f>
        <v>0</v>
      </c>
      <c r="W117" s="308"/>
      <c r="X117" s="388">
        <f>SUM(X111:X116)</f>
        <v>0</v>
      </c>
      <c r="Y117" s="308"/>
      <c r="Z117" s="388">
        <f>SUM(Z111:Z116)</f>
        <v>0</v>
      </c>
      <c r="AA117" s="308"/>
      <c r="AB117" s="354">
        <f>SUM(AB111:AB116)</f>
        <v>-56011</v>
      </c>
      <c r="AC117" s="402"/>
      <c r="AD117" s="354">
        <f>SUM(AD111:AD116)</f>
        <v>0</v>
      </c>
      <c r="AE117" s="402"/>
      <c r="AF117" s="354">
        <f>SUM(AF111:AF116)</f>
        <v>0</v>
      </c>
      <c r="AG117" s="402"/>
      <c r="AH117" s="354">
        <f>SUM(AH111:AH116)</f>
        <v>0</v>
      </c>
      <c r="AI117" s="402"/>
      <c r="AJ117" s="354">
        <f>SUM(AJ111:AJ116)</f>
        <v>0</v>
      </c>
      <c r="AK117" s="402"/>
      <c r="AL117" s="354">
        <f>SUM(AL111:AL116)</f>
        <v>0</v>
      </c>
      <c r="AM117" s="402"/>
      <c r="AN117" s="354">
        <f>SUM(AN111:AN116)</f>
        <v>0</v>
      </c>
      <c r="AO117" s="354"/>
      <c r="AP117" s="354">
        <f>SUM(AP111:AP116)</f>
        <v>0</v>
      </c>
      <c r="AQ117" s="534">
        <f t="shared" ref="AQ117:AQ118" si="40">ABS(SUMIF(V117:AP117,"&gt;0")-SUMIF(V117:AP117,"&lt;0"))</f>
        <v>56011</v>
      </c>
      <c r="AR117" s="308"/>
      <c r="AS117" s="403"/>
    </row>
    <row r="118" spans="1:45" ht="15.6" customHeight="1">
      <c r="A118" s="271" t="s">
        <v>236</v>
      </c>
      <c r="B118" s="271" t="str">
        <f>IF(OR($F$11="Yes",$AQ118&lt;&gt;0),"Show",IF($AQ118=0,"Hide","Show"))</f>
        <v>Show</v>
      </c>
      <c r="K118" s="337">
        <v>590550</v>
      </c>
      <c r="L118" s="275" t="str">
        <f>$F$22</f>
        <v>203</v>
      </c>
      <c r="M118" s="275" t="str">
        <f>$J$7</f>
        <v>10/1/2016..9/30/2017</v>
      </c>
      <c r="N118" s="271" t="str">
        <f>$D$6</f>
        <v>HARMONY CDD</v>
      </c>
      <c r="O118" s="280">
        <f>K118</f>
        <v>590550</v>
      </c>
      <c r="P118" s="283">
        <v>599999</v>
      </c>
      <c r="R118" s="461" t="s">
        <v>457</v>
      </c>
      <c r="S118" s="308"/>
      <c r="T118" s="428">
        <f>IF(OR(T$4="ACTUAL",T$1="hide"),0,T$109)</f>
        <v>0</v>
      </c>
      <c r="U118" s="308"/>
      <c r="V118" s="428">
        <f>IF(OR(V$4="ACTUAL",V$1="hide"),0,V$109)</f>
        <v>0</v>
      </c>
      <c r="W118" s="308"/>
      <c r="X118" s="428">
        <f>IF(OR(X$4="ACTUAL",X$1="hide"),0,X$109)</f>
        <v>0</v>
      </c>
      <c r="Y118" s="308"/>
      <c r="Z118" s="428">
        <f>IF(OR(Z$4="ACTUAL",Z$1="hide"),0,Z$109)</f>
        <v>0</v>
      </c>
      <c r="AA118" s="308"/>
      <c r="AB118" s="354">
        <f>IF(OR(AB$4="ACTUAL",AB$1="hide"),0,AB$109)</f>
        <v>0</v>
      </c>
      <c r="AC118" s="402"/>
      <c r="AD118" s="354">
        <f>IF(OR(AD$4="ACTUAL",AD$1="hide"),0,AD$109)</f>
        <v>0</v>
      </c>
      <c r="AE118" s="402"/>
      <c r="AF118" s="354">
        <f>IF(OR(AF$4="ACTUAL",AF$1="hide"),0,AF$109)</f>
        <v>-13774</v>
      </c>
      <c r="AG118" s="402"/>
      <c r="AH118" s="354">
        <f>IF(OR(AH$4="ACTUAL",AH$1="hide"),0,AH$109)</f>
        <v>0</v>
      </c>
      <c r="AI118" s="402"/>
      <c r="AJ118" s="391">
        <f>IF(OR(AJ$4="ACTUAL",AJ$1="hide"),0,AJ$109)</f>
        <v>0</v>
      </c>
      <c r="AK118" s="402"/>
      <c r="AL118" s="354">
        <f>IF(ISERROR(AH118+AJ118),0,(AH118+AJ118))</f>
        <v>0</v>
      </c>
      <c r="AM118" s="402"/>
      <c r="AN118" s="354">
        <f>IF(OR(AN$4="ACTUAL",AN$1="hide"),0,AN$109)</f>
        <v>0</v>
      </c>
      <c r="AO118" s="354"/>
      <c r="AP118" s="391">
        <f>IF(OR(AP$4="ACTUAL",AP$1="hide"),0,AP$109)</f>
        <v>-3627.9447048255242</v>
      </c>
      <c r="AQ118" s="534">
        <f t="shared" si="40"/>
        <v>17401.944704825524</v>
      </c>
      <c r="AR118" s="308"/>
      <c r="AS118" s="462"/>
    </row>
    <row r="119" spans="1:45" ht="3.95" customHeight="1">
      <c r="B119" s="274" t="str">
        <f>B120</f>
        <v>Show</v>
      </c>
      <c r="P119" s="283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402"/>
      <c r="AC119" s="402"/>
      <c r="AD119" s="402"/>
      <c r="AE119" s="402"/>
      <c r="AF119" s="402"/>
      <c r="AG119" s="402"/>
      <c r="AH119" s="402"/>
      <c r="AI119" s="402"/>
      <c r="AJ119" s="402"/>
      <c r="AK119" s="402"/>
      <c r="AL119" s="402"/>
      <c r="AM119" s="402"/>
      <c r="AN119" s="402"/>
      <c r="AO119" s="383"/>
      <c r="AP119" s="402"/>
      <c r="AR119" s="308"/>
      <c r="AS119" s="403"/>
    </row>
    <row r="120" spans="1:45" ht="15" customHeight="1">
      <c r="B120" s="271" t="str">
        <f>IF(OR($F$11="Yes",$AQ120&lt;&gt;0),"Show",IF($AQ120=0,"Hide","Show"))</f>
        <v>Show</v>
      </c>
      <c r="P120" s="283"/>
      <c r="R120" s="368" t="s">
        <v>458</v>
      </c>
      <c r="S120" s="431"/>
      <c r="T120" s="370">
        <f>SUM(T117:T118)</f>
        <v>0</v>
      </c>
      <c r="U120" s="431"/>
      <c r="V120" s="370">
        <f>SUM(V117:V118)</f>
        <v>0</v>
      </c>
      <c r="W120" s="431"/>
      <c r="X120" s="370">
        <f>SUM(X117:X118)</f>
        <v>0</v>
      </c>
      <c r="Y120" s="431"/>
      <c r="Z120" s="370">
        <f>SUM(Z117:Z118)</f>
        <v>0</v>
      </c>
      <c r="AA120" s="431"/>
      <c r="AB120" s="372">
        <f>SUM(AB117:AB118)</f>
        <v>-56011</v>
      </c>
      <c r="AC120" s="374"/>
      <c r="AD120" s="372">
        <f>SUM(AD117:AD118)</f>
        <v>0</v>
      </c>
      <c r="AE120" s="374"/>
      <c r="AF120" s="372">
        <f>SUM(AF117:AF118)</f>
        <v>-13774</v>
      </c>
      <c r="AG120" s="374"/>
      <c r="AH120" s="372">
        <f>SUM(AH117:AH118)</f>
        <v>0</v>
      </c>
      <c r="AI120" s="374"/>
      <c r="AJ120" s="372">
        <f>SUM(AJ117:AJ118)</f>
        <v>0</v>
      </c>
      <c r="AK120" s="374"/>
      <c r="AL120" s="372">
        <f>SUM(AL117:AL118)</f>
        <v>0</v>
      </c>
      <c r="AM120" s="374"/>
      <c r="AN120" s="372">
        <f>SUM(AN117:AN118)</f>
        <v>0</v>
      </c>
      <c r="AO120" s="372"/>
      <c r="AP120" s="375">
        <f>SUM(AP117:AP118)</f>
        <v>-3627.9447048255242</v>
      </c>
      <c r="AQ120" s="534">
        <f>ABS(SUMIF(V120:AP120,"&gt;0")-SUMIF(V120:AP120,"&lt;0"))</f>
        <v>73412.944704825524</v>
      </c>
      <c r="AR120" s="308"/>
      <c r="AS120" s="434"/>
    </row>
    <row r="121" spans="1:45" ht="9.9499999999999993" customHeight="1">
      <c r="B121" s="271" t="str">
        <f>B120</f>
        <v>Show</v>
      </c>
      <c r="P121" s="283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402"/>
      <c r="AC121" s="402"/>
      <c r="AD121" s="402"/>
      <c r="AE121" s="402"/>
      <c r="AF121" s="402"/>
      <c r="AG121" s="402"/>
      <c r="AH121" s="402"/>
      <c r="AI121" s="402"/>
      <c r="AJ121" s="402"/>
      <c r="AK121" s="402"/>
      <c r="AL121" s="402"/>
      <c r="AM121" s="402"/>
      <c r="AN121" s="402"/>
      <c r="AO121" s="383"/>
      <c r="AP121" s="402"/>
      <c r="AR121" s="308"/>
      <c r="AS121" s="434"/>
    </row>
    <row r="122" spans="1:45" s="314" customFormat="1" ht="15" customHeight="1">
      <c r="B122" s="314" t="s">
        <v>62</v>
      </c>
      <c r="K122" s="687"/>
      <c r="P122" s="320"/>
      <c r="R122" s="315" t="str">
        <f>IF(AND($F$22&gt;"399",$F$22&lt;"500"),"Change in net assets","Net change in fund balance")</f>
        <v>Net change in fund balance</v>
      </c>
      <c r="S122" s="315"/>
      <c r="T122" s="689">
        <f>IF(T$4="ACTUAL",SUM(T120+T106),SUM(T120+T106+(IF(ABS(T109)&lt;0.49,0,-T109))))</f>
        <v>561385</v>
      </c>
      <c r="U122" s="315"/>
      <c r="V122" s="689">
        <f>IF(V$4="ACTUAL",SUM(V120+V106),SUM(V120+V106+(IF(ABS(V109)&lt;0.49,0,-V109))))</f>
        <v>0</v>
      </c>
      <c r="W122" s="315"/>
      <c r="X122" s="689">
        <f>IF(X$4="ACTUAL",SUM(X120+X106),SUM(X120+X106+(IF(ABS(X109)&lt;0.49,0,-X109))))</f>
        <v>0</v>
      </c>
      <c r="Y122" s="315"/>
      <c r="Z122" s="689">
        <f>IF(Z$4="ACTUAL",SUM(Z120+Z106),SUM(Z120+Z106+(IF(ABS(Z109)&lt;0.49,0,-Z109))))</f>
        <v>0</v>
      </c>
      <c r="AA122" s="315"/>
      <c r="AB122" s="463">
        <f>IF(AB$4="ACTUAL",SUM(AB120+AB106),SUM(AB120+AB106+(IF(ABS(AB109)&lt;0.49,0,-AB109))))</f>
        <v>281377</v>
      </c>
      <c r="AC122" s="690"/>
      <c r="AD122" s="691">
        <f>IF(AD$4="ACTUAL",SUM(AD120+AD106),SUM(AD120+AD106+(IF(ABS(AD109)&lt;0.49,0,-AD109))))</f>
        <v>0</v>
      </c>
      <c r="AE122" s="690"/>
      <c r="AF122" s="463">
        <f>IF(AF$4="ACTUAL",SUM(AF120+AF106),SUM(AF120+AF106+(IF(ABS(AF109)&lt;0.49,0,-AF109))))</f>
        <v>-13774</v>
      </c>
      <c r="AG122" s="690"/>
      <c r="AH122" s="463">
        <f ca="1">IF(AH$4="ACTUAL",SUM(AH120+AH106),SUM(AH120+AH106+(IF(ABS(AH109)&lt;0.49,0,-AH109))))</f>
        <v>-51978</v>
      </c>
      <c r="AI122" s="690"/>
      <c r="AJ122" s="463">
        <f ca="1">IF(AJ$4="ACTUAL",SUM(AJ120+AJ106),SUM(AJ120+AJ106+(IF(ABS(AJ109)&lt;0.49,0,-AJ109))))</f>
        <v>32604</v>
      </c>
      <c r="AK122" s="690"/>
      <c r="AL122" s="463">
        <f ca="1">IF(AL$4="ACTUAL",SUM(AL120+AL106),SUM(AL120+AL106+(IF(ABS(AL109)&lt;0.49,0,-AL109))))</f>
        <v>-19374</v>
      </c>
      <c r="AM122" s="690"/>
      <c r="AN122" s="691">
        <f>IF(AN$4="ACTUAL",SUM(AN120+AN106),SUM(AN120+AN106+(IF(ABS(AN109)&lt;0.49,0,-AN109))))</f>
        <v>0</v>
      </c>
      <c r="AO122" s="425"/>
      <c r="AP122" s="463">
        <f>IF(AP$4="ACTUAL",SUM(AP120+AP106),SUM(AP120+AP106+(IF(ABS(AP109)&lt;0.49,0,-AP109))))</f>
        <v>-3627.9447048255242</v>
      </c>
      <c r="AQ122" s="256">
        <f ca="1">ABS(SUMIF(V122:AP122,"&gt;0")-SUMIF(V122:AP122,"&lt;0"))</f>
        <v>402734.94470482552</v>
      </c>
      <c r="AR122" s="315"/>
      <c r="AS122" s="446"/>
    </row>
    <row r="123" spans="1:45" ht="9.9499999999999993" customHeight="1">
      <c r="B123" s="271" t="s">
        <v>62</v>
      </c>
      <c r="P123" s="283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402"/>
      <c r="AC123" s="402"/>
      <c r="AD123" s="402"/>
      <c r="AE123" s="402"/>
      <c r="AF123" s="402"/>
      <c r="AG123" s="402"/>
      <c r="AH123" s="402"/>
      <c r="AI123" s="402"/>
      <c r="AJ123" s="402"/>
      <c r="AK123" s="402"/>
      <c r="AL123" s="402"/>
      <c r="AM123" s="402"/>
      <c r="AN123" s="402"/>
      <c r="AO123" s="383"/>
      <c r="AP123" s="402"/>
      <c r="AR123" s="308"/>
      <c r="AS123" s="434"/>
    </row>
    <row r="124" spans="1:45" ht="15" hidden="1" customHeight="1">
      <c r="B124" s="271" t="s">
        <v>31</v>
      </c>
      <c r="O124" s="466" t="s">
        <v>459</v>
      </c>
      <c r="P124" s="467">
        <v>391000</v>
      </c>
      <c r="R124" s="389" t="s">
        <v>460</v>
      </c>
      <c r="S124" s="308"/>
      <c r="T124" s="459">
        <v>0</v>
      </c>
      <c r="U124" s="308"/>
      <c r="V124" s="459">
        <v>0</v>
      </c>
      <c r="W124" s="459"/>
      <c r="X124" s="459">
        <v>0</v>
      </c>
      <c r="Y124" s="459"/>
      <c r="Z124" s="459">
        <v>0</v>
      </c>
      <c r="AA124" s="459"/>
      <c r="AB124" s="352">
        <v>0</v>
      </c>
      <c r="AC124" s="352"/>
      <c r="AD124" s="352">
        <v>0</v>
      </c>
      <c r="AE124" s="352"/>
      <c r="AF124" s="352">
        <v>0</v>
      </c>
      <c r="AG124" s="352"/>
      <c r="AH124" s="352">
        <v>0</v>
      </c>
      <c r="AI124" s="352"/>
      <c r="AJ124" s="352">
        <v>0</v>
      </c>
      <c r="AK124" s="352"/>
      <c r="AL124" s="352">
        <f>AH124+AJ124</f>
        <v>0</v>
      </c>
      <c r="AM124" s="352"/>
      <c r="AN124" s="352">
        <v>0</v>
      </c>
      <c r="AO124" s="386"/>
      <c r="AP124" s="352">
        <v>0</v>
      </c>
      <c r="AQ124" s="534">
        <f t="shared" ref="AQ124:AQ127" si="41">ABS(SUMIF(V124:AP124,"&gt;0")-SUMIF(V124:AP124,"&lt;0"))</f>
        <v>0</v>
      </c>
      <c r="AR124" s="308"/>
      <c r="AS124" s="434"/>
    </row>
    <row r="125" spans="1:45" ht="15" hidden="1" customHeight="1">
      <c r="B125" s="271" t="s">
        <v>31</v>
      </c>
      <c r="O125" s="297"/>
      <c r="P125" s="467"/>
      <c r="R125" s="322" t="s">
        <v>461</v>
      </c>
      <c r="S125" s="308"/>
      <c r="T125" s="468">
        <v>0</v>
      </c>
      <c r="U125" s="308"/>
      <c r="V125" s="468">
        <v>0</v>
      </c>
      <c r="W125" s="453"/>
      <c r="X125" s="468">
        <v>0</v>
      </c>
      <c r="Y125" s="453"/>
      <c r="Z125" s="468">
        <v>0</v>
      </c>
      <c r="AA125" s="453"/>
      <c r="AB125" s="354">
        <v>0</v>
      </c>
      <c r="AC125" s="402"/>
      <c r="AD125" s="352"/>
      <c r="AE125" s="402"/>
      <c r="AF125" s="352">
        <f>AH125</f>
        <v>0</v>
      </c>
      <c r="AG125" s="402"/>
      <c r="AH125" s="352">
        <f>$Z$158</f>
        <v>0</v>
      </c>
      <c r="AI125" s="402"/>
      <c r="AJ125" s="354">
        <v>0</v>
      </c>
      <c r="AK125" s="402"/>
      <c r="AL125" s="352"/>
      <c r="AM125" s="402"/>
      <c r="AN125" s="354">
        <v>0</v>
      </c>
      <c r="AO125" s="354"/>
      <c r="AP125" s="354">
        <v>0</v>
      </c>
      <c r="AQ125" s="534">
        <f t="shared" si="41"/>
        <v>0</v>
      </c>
      <c r="AR125" s="308"/>
      <c r="AS125" s="434"/>
    </row>
    <row r="126" spans="1:45" ht="15" hidden="1" customHeight="1">
      <c r="B126" s="271" t="s">
        <v>31</v>
      </c>
      <c r="O126" s="297"/>
      <c r="P126" s="467"/>
      <c r="R126" s="469" t="s">
        <v>462</v>
      </c>
      <c r="S126" s="388"/>
      <c r="T126" s="388">
        <f>ABS(T52)+ABS(T102)+ABS(T120)</f>
        <v>1430155</v>
      </c>
      <c r="U126" s="388"/>
      <c r="V126" s="388">
        <f>ABS(V52)+ABS(V102)+ABS(V120)</f>
        <v>0</v>
      </c>
      <c r="W126" s="388"/>
      <c r="X126" s="388">
        <f>ABS(X52)+ABS(X102)+ABS(X120)</f>
        <v>0</v>
      </c>
      <c r="Y126" s="388"/>
      <c r="Z126" s="388">
        <f>ABS(Z52)+ABS(Z102)+ABS(Z120)</f>
        <v>0</v>
      </c>
      <c r="AA126" s="388"/>
      <c r="AB126" s="354">
        <f>ABS(AB52)+ABS(AB102)+ABS(AB120)</f>
        <v>2507793</v>
      </c>
      <c r="AC126" s="354"/>
      <c r="AD126" s="354">
        <f>ABS(AD52)+ABS(AD102)+ABS(AD120)</f>
        <v>0</v>
      </c>
      <c r="AE126" s="354"/>
      <c r="AF126" s="354">
        <f>ABS(AF52)+ABS(AF102)+ABS(AF120)</f>
        <v>2472998</v>
      </c>
      <c r="AG126" s="354"/>
      <c r="AH126" s="354">
        <f ca="1">ABS(AH52)+ABS(AH102)+ABS(AH120)</f>
        <v>2584968</v>
      </c>
      <c r="AI126" s="354"/>
      <c r="AJ126" s="354">
        <v>0</v>
      </c>
      <c r="AK126" s="354"/>
      <c r="AL126" s="354">
        <f t="shared" ref="AL126:AL127" ca="1" si="42">AH126+AJ126</f>
        <v>2584968</v>
      </c>
      <c r="AM126" s="354"/>
      <c r="AN126" s="354">
        <v>0</v>
      </c>
      <c r="AO126" s="354"/>
      <c r="AP126" s="354">
        <v>0</v>
      </c>
      <c r="AQ126" s="534">
        <f t="shared" ca="1" si="41"/>
        <v>10150727</v>
      </c>
      <c r="AR126" s="308"/>
      <c r="AS126" s="434"/>
    </row>
    <row r="127" spans="1:45" s="272" customFormat="1" ht="15" customHeight="1">
      <c r="B127" s="272" t="s">
        <v>62</v>
      </c>
      <c r="K127" s="406"/>
      <c r="O127" s="466" t="s">
        <v>459</v>
      </c>
      <c r="P127" s="467">
        <v>391000</v>
      </c>
      <c r="R127" s="328" t="str">
        <f>IF(AND($F$22&gt;"399",$F$22&lt;"500"),"TOTAL NET ASSETS, BEGINNING","FUND BALANCE, BEGINNING")</f>
        <v>FUND BALANCE, BEGINNING</v>
      </c>
      <c r="S127" s="322"/>
      <c r="T127" s="459">
        <v>1129554</v>
      </c>
      <c r="U127" s="322"/>
      <c r="V127" s="459">
        <f>IF(V$1="Show",V129-V124-V122,0)</f>
        <v>0</v>
      </c>
      <c r="W127" s="459"/>
      <c r="X127" s="459">
        <f>IF(X$1="Show",X129-X124-X122,0)</f>
        <v>0</v>
      </c>
      <c r="Y127" s="459"/>
      <c r="Z127" s="459">
        <f>IF(Z$1="Show",Z129-Z124-Z122,0)</f>
        <v>0</v>
      </c>
      <c r="AA127" s="459"/>
      <c r="AB127" s="352">
        <f>IF(AB$1="Show",AB129-AB124-AB122,0)</f>
        <v>848177</v>
      </c>
      <c r="AC127" s="352"/>
      <c r="AD127" s="352">
        <v>0</v>
      </c>
      <c r="AE127" s="352"/>
      <c r="AF127" s="352">
        <f>IF(OR($O127="",AF$1="HIDE"),0,IF(AND(AF$4="BUDGET",AF$126=0),0,AH127))</f>
        <v>1129554</v>
      </c>
      <c r="AG127" s="352"/>
      <c r="AH127" s="352">
        <v>1129554</v>
      </c>
      <c r="AI127" s="352"/>
      <c r="AJ127" s="352">
        <v>0</v>
      </c>
      <c r="AK127" s="352"/>
      <c r="AL127" s="352">
        <f t="shared" si="42"/>
        <v>1129554</v>
      </c>
      <c r="AM127" s="352"/>
      <c r="AN127" s="352">
        <v>0</v>
      </c>
      <c r="AO127" s="386"/>
      <c r="AP127" s="352">
        <f ca="1">AL129</f>
        <v>1110180</v>
      </c>
      <c r="AQ127" s="2">
        <f t="shared" ca="1" si="41"/>
        <v>5347019</v>
      </c>
      <c r="AR127" s="322"/>
      <c r="AS127" s="692"/>
    </row>
    <row r="128" spans="1:45" ht="9.9499999999999993" customHeight="1">
      <c r="B128" s="271" t="s">
        <v>62</v>
      </c>
      <c r="P128" s="283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402"/>
      <c r="AC128" s="402"/>
      <c r="AD128" s="402"/>
      <c r="AE128" s="402"/>
      <c r="AF128" s="402"/>
      <c r="AG128" s="402"/>
      <c r="AH128" s="402"/>
      <c r="AI128" s="402"/>
      <c r="AJ128" s="402"/>
      <c r="AK128" s="402"/>
      <c r="AL128" s="402"/>
      <c r="AM128" s="402"/>
      <c r="AN128" s="402"/>
      <c r="AO128" s="383"/>
      <c r="AP128" s="402"/>
      <c r="AR128" s="308"/>
      <c r="AS128" s="434"/>
    </row>
    <row r="129" spans="1:45" ht="15" customHeight="1">
      <c r="B129" s="271" t="s">
        <v>62</v>
      </c>
      <c r="P129" s="283"/>
      <c r="R129" s="334" t="str">
        <f>IF(AND($F$22&gt;"399",$F$22&lt;"500"),"TOTAL NET ASSETS, ENDING","FUND BALANCE, ENDING")</f>
        <v>FUND BALANCE, ENDING</v>
      </c>
      <c r="S129" s="308"/>
      <c r="T129" s="470">
        <f>SUM(T122+T127)</f>
        <v>1690939</v>
      </c>
      <c r="U129" s="315"/>
      <c r="V129" s="470">
        <f>IF(V$1="Hide",0,X127)</f>
        <v>0</v>
      </c>
      <c r="W129" s="315"/>
      <c r="X129" s="470">
        <f>IF(X$1="Hide",0,Z127)</f>
        <v>0</v>
      </c>
      <c r="Y129" s="315"/>
      <c r="Z129" s="470">
        <f>IF(Z$1="Hide",0,AB127)</f>
        <v>0</v>
      </c>
      <c r="AA129" s="315"/>
      <c r="AB129" s="471">
        <f>IF(AB$1="Hide",0,AF127)</f>
        <v>1129554</v>
      </c>
      <c r="AC129" s="472"/>
      <c r="AD129" s="471">
        <f>SUM(AD122+AD127)</f>
        <v>0</v>
      </c>
      <c r="AE129" s="472"/>
      <c r="AF129" s="471">
        <f>SUM(AF122+AF127)</f>
        <v>1115780</v>
      </c>
      <c r="AG129" s="472"/>
      <c r="AH129" s="471">
        <f ca="1">SUM(AH122+AH127)</f>
        <v>1077576</v>
      </c>
      <c r="AI129" s="472"/>
      <c r="AJ129" s="471">
        <f ca="1">SUM(AJ122+AJ127)</f>
        <v>32604</v>
      </c>
      <c r="AK129" s="472"/>
      <c r="AL129" s="471">
        <f ca="1">SUM(AL122+AL127)</f>
        <v>1110180</v>
      </c>
      <c r="AM129" s="472"/>
      <c r="AN129" s="471">
        <f>SUM(AN122+AN127)</f>
        <v>0</v>
      </c>
      <c r="AO129" s="473"/>
      <c r="AP129" s="471">
        <f ca="1">SUM(AP122+AP127)</f>
        <v>1106552.0552951745</v>
      </c>
      <c r="AQ129" s="534">
        <f ca="1">ABS(SUMIF(V129:AP129,"&gt;0")-SUMIF(V129:AP129,"&lt;0"))</f>
        <v>5572246.0552951749</v>
      </c>
      <c r="AR129" s="308"/>
      <c r="AS129" s="434"/>
    </row>
    <row r="130" spans="1:45" ht="15" hidden="1" customHeight="1">
      <c r="B130" s="271" t="str">
        <f t="shared" ref="B130:B141" si="43">B131</f>
        <v>Hide</v>
      </c>
      <c r="P130" s="283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M130" s="308"/>
      <c r="AN130" s="308"/>
      <c r="AO130" s="401"/>
      <c r="AP130" s="308"/>
      <c r="AR130" s="308"/>
      <c r="AS130" s="434"/>
    </row>
    <row r="131" spans="1:45" ht="15" hidden="1" customHeight="1">
      <c r="B131" s="271" t="str">
        <f t="shared" si="43"/>
        <v>Hide</v>
      </c>
      <c r="P131" s="283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M131" s="308"/>
      <c r="AN131" s="308"/>
      <c r="AO131" s="401"/>
      <c r="AP131" s="308"/>
      <c r="AQ131" s="534">
        <f ca="1">SUM(AQ34:AQ129)</f>
        <v>53850491.944704838</v>
      </c>
      <c r="AR131" s="308"/>
      <c r="AS131" s="434"/>
    </row>
    <row r="132" spans="1:45" hidden="1">
      <c r="B132" s="271" t="str">
        <f t="shared" si="43"/>
        <v>Hide</v>
      </c>
      <c r="P132" s="283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M132" s="308"/>
      <c r="AN132" s="308"/>
      <c r="AO132" s="401"/>
      <c r="AP132" s="308"/>
      <c r="AR132" s="308"/>
      <c r="AS132" s="434"/>
    </row>
    <row r="133" spans="1:45" hidden="1">
      <c r="B133" s="271" t="str">
        <f t="shared" si="43"/>
        <v>Hide</v>
      </c>
      <c r="P133" s="283"/>
      <c r="R133" s="308"/>
      <c r="S133" s="308"/>
      <c r="T133" s="474" t="s">
        <v>301</v>
      </c>
      <c r="U133" s="308"/>
      <c r="V133" s="308" t="str">
        <f>IF($V31="","",$V31)</f>
        <v/>
      </c>
      <c r="W133" s="308"/>
      <c r="X133" s="308" t="str">
        <f>IF($V31="","",$V31)</f>
        <v/>
      </c>
      <c r="Y133" s="308"/>
      <c r="Z133" s="308" t="str">
        <f>IF($V31="","",$V31)</f>
        <v/>
      </c>
      <c r="AA133" s="308"/>
      <c r="AB133" s="474" t="str">
        <f t="shared" ref="AB133:AB135" si="44">IF(AB31="","",AB31)</f>
        <v/>
      </c>
      <c r="AC133" s="308"/>
      <c r="AD133" s="474" t="str">
        <f t="shared" ref="AD133:AD135" si="45">IF(AD31="","",AD31)</f>
        <v>ADOPTED</v>
      </c>
      <c r="AE133" s="308"/>
      <c r="AF133" s="474" t="str">
        <f t="shared" ref="AF133:AF135" si="46">IF(AF31="","",AF31)</f>
        <v>ADOPTED</v>
      </c>
      <c r="AG133" s="308"/>
      <c r="AH133" s="474" t="str">
        <f t="shared" ref="AH133:AH135" si="47">IF(AH31="","",AH31)</f>
        <v xml:space="preserve">ACTUAL </v>
      </c>
      <c r="AI133" s="308"/>
      <c r="AJ133" s="474" t="str">
        <f t="shared" ref="AJ133:AJ135" si="48">IF(AJ31="","",AJ31)</f>
        <v>PROJECTED</v>
      </c>
      <c r="AK133" s="308"/>
      <c r="AL133" s="596" t="str">
        <f t="shared" ref="AL133:AL135" si="49">IF(AL31="","",AL31)</f>
        <v>TOTAL</v>
      </c>
      <c r="AM133" s="308"/>
      <c r="AN133" s="474" t="str">
        <f t="shared" ref="AN133:AN135" si="50">IF(AN31="","",AN31)</f>
        <v>NAVIGATOR</v>
      </c>
      <c r="AO133" s="401"/>
      <c r="AP133" s="474" t="str">
        <f t="shared" ref="AP133:AP135" si="51">IF(AP31="","",AP31)</f>
        <v>ANNUAL</v>
      </c>
      <c r="AR133" s="308"/>
      <c r="AS133" s="434"/>
    </row>
    <row r="134" spans="1:45" hidden="1">
      <c r="B134" s="271" t="str">
        <f t="shared" si="43"/>
        <v>Hide</v>
      </c>
      <c r="P134" s="283"/>
      <c r="R134" s="308"/>
      <c r="S134" s="308"/>
      <c r="T134" s="474" t="str">
        <f t="shared" ref="T134:T135" si="52">IF(T32="","",T32)</f>
        <v xml:space="preserve">ACTUAL </v>
      </c>
      <c r="U134" s="308"/>
      <c r="V134" s="474" t="str">
        <f t="shared" ref="V134:V135" si="53">IF(V32="","",V32)</f>
        <v xml:space="preserve">ACTUAL </v>
      </c>
      <c r="W134" s="474"/>
      <c r="X134" s="474" t="str">
        <f t="shared" ref="X134:X135" si="54">IF(X32="","",X32)</f>
        <v xml:space="preserve">ACTUAL </v>
      </c>
      <c r="Y134" s="474"/>
      <c r="Z134" s="474" t="str">
        <f t="shared" ref="Z134:Z135" si="55">IF(Z32="","",Z32)</f>
        <v xml:space="preserve">ACTUAL </v>
      </c>
      <c r="AA134" s="474"/>
      <c r="AB134" s="474" t="str">
        <f t="shared" si="44"/>
        <v xml:space="preserve">ACTUAL </v>
      </c>
      <c r="AC134" s="474"/>
      <c r="AD134" s="474" t="str">
        <f t="shared" si="45"/>
        <v xml:space="preserve">BUDGET </v>
      </c>
      <c r="AE134" s="474"/>
      <c r="AF134" s="474" t="str">
        <f t="shared" si="46"/>
        <v xml:space="preserve">BUDGET </v>
      </c>
      <c r="AG134" s="474"/>
      <c r="AH134" s="474" t="str">
        <f t="shared" si="47"/>
        <v>THRU</v>
      </c>
      <c r="AI134" s="474"/>
      <c r="AJ134" s="474" t="str">
        <f t="shared" si="48"/>
        <v>June thru</v>
      </c>
      <c r="AK134" s="474"/>
      <c r="AL134" s="596" t="str">
        <f t="shared" si="49"/>
        <v>PROJECTED</v>
      </c>
      <c r="AM134" s="474"/>
      <c r="AN134" s="474" t="str">
        <f t="shared" si="50"/>
        <v>BALANCE</v>
      </c>
      <c r="AO134" s="474"/>
      <c r="AP134" s="474" t="str">
        <f t="shared" si="51"/>
        <v xml:space="preserve">BUDGET </v>
      </c>
      <c r="AR134" s="308"/>
      <c r="AS134" s="434"/>
    </row>
    <row r="135" spans="1:45" hidden="1">
      <c r="B135" s="271" t="str">
        <f t="shared" si="43"/>
        <v>Hide</v>
      </c>
      <c r="P135" s="283"/>
      <c r="R135" s="308"/>
      <c r="S135" s="308"/>
      <c r="T135" s="331" t="str">
        <f t="shared" si="52"/>
        <v>TEST</v>
      </c>
      <c r="U135" s="308"/>
      <c r="V135" s="331" t="str">
        <f t="shared" si="53"/>
        <v>FY 2012</v>
      </c>
      <c r="W135" s="331"/>
      <c r="X135" s="331" t="str">
        <f t="shared" si="54"/>
        <v>FY 2013</v>
      </c>
      <c r="Y135" s="331"/>
      <c r="Z135" s="331" t="str">
        <f t="shared" si="55"/>
        <v>FY 2014</v>
      </c>
      <c r="AA135" s="331"/>
      <c r="AB135" s="331" t="str">
        <f t="shared" si="44"/>
        <v>FY - 2015</v>
      </c>
      <c r="AC135" s="331"/>
      <c r="AD135" s="331" t="str">
        <f t="shared" si="45"/>
        <v>FY - 2015</v>
      </c>
      <c r="AE135" s="331"/>
      <c r="AF135" s="331" t="str">
        <f t="shared" si="46"/>
        <v>FY - 2016</v>
      </c>
      <c r="AG135" s="331"/>
      <c r="AH135" s="331" t="str">
        <f t="shared" si="47"/>
        <v>May – 2016</v>
      </c>
      <c r="AI135" s="331"/>
      <c r="AJ135" s="331" t="str">
        <f t="shared" si="48"/>
        <v>EoFY – 2016</v>
      </c>
      <c r="AK135" s="331"/>
      <c r="AL135" s="597" t="str">
        <f t="shared" si="49"/>
        <v>FY-2016</v>
      </c>
      <c r="AM135" s="331"/>
      <c r="AN135" s="331" t="str">
        <f t="shared" si="50"/>
        <v>FY - 2017</v>
      </c>
      <c r="AO135" s="474"/>
      <c r="AP135" s="331" t="str">
        <f t="shared" si="51"/>
        <v>FY - 2017</v>
      </c>
      <c r="AR135" s="308"/>
      <c r="AS135" s="434"/>
    </row>
    <row r="136" spans="1:45" hidden="1">
      <c r="B136" s="271" t="str">
        <f t="shared" si="43"/>
        <v>Hide</v>
      </c>
      <c r="P136" s="283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M136" s="308"/>
      <c r="AN136" s="308"/>
      <c r="AO136" s="401"/>
      <c r="AP136" s="308"/>
      <c r="AR136" s="308"/>
      <c r="AS136" s="434"/>
    </row>
    <row r="137" spans="1:45" s="488" customFormat="1" hidden="1">
      <c r="A137" s="271"/>
      <c r="B137" s="271" t="str">
        <f t="shared" si="43"/>
        <v>Hide</v>
      </c>
      <c r="C137" s="271"/>
      <c r="D137" s="271"/>
      <c r="E137" s="272"/>
      <c r="F137" s="272"/>
      <c r="G137" s="272"/>
      <c r="H137" s="272"/>
      <c r="I137" s="271"/>
      <c r="J137" s="271"/>
      <c r="K137" s="273"/>
      <c r="L137" s="274"/>
      <c r="M137" s="274"/>
      <c r="N137" s="271"/>
      <c r="O137" s="271"/>
      <c r="P137" s="479" t="s">
        <v>463</v>
      </c>
      <c r="Q137" s="271"/>
      <c r="R137" s="308"/>
      <c r="S137" s="308"/>
      <c r="T137" s="480">
        <v>0</v>
      </c>
      <c r="U137" s="308"/>
      <c r="V137" s="480">
        <v>0</v>
      </c>
      <c r="W137" s="481"/>
      <c r="X137" s="480">
        <v>0</v>
      </c>
      <c r="Y137" s="481"/>
      <c r="Z137" s="480">
        <v>0</v>
      </c>
      <c r="AA137" s="481"/>
      <c r="AB137" s="480">
        <v>0.13999999989755452</v>
      </c>
      <c r="AC137" s="481"/>
      <c r="AD137" s="480">
        <v>0</v>
      </c>
      <c r="AE137" s="481"/>
      <c r="AF137" s="480">
        <v>0</v>
      </c>
      <c r="AG137" s="481"/>
      <c r="AH137" s="480">
        <v>0.17000000004190952</v>
      </c>
      <c r="AI137" s="481"/>
      <c r="AJ137" s="480">
        <v>0</v>
      </c>
      <c r="AK137" s="481"/>
      <c r="AL137" s="598">
        <v>0</v>
      </c>
      <c r="AM137" s="481"/>
      <c r="AN137" s="480">
        <v>0</v>
      </c>
      <c r="AO137" s="693"/>
      <c r="AP137" s="480">
        <v>0</v>
      </c>
      <c r="AQ137" s="600"/>
      <c r="AR137" s="481"/>
      <c r="AS137" s="487"/>
    </row>
    <row r="138" spans="1:45" s="488" customFormat="1" hidden="1">
      <c r="A138" s="271"/>
      <c r="B138" s="271" t="str">
        <f t="shared" si="43"/>
        <v>Hide</v>
      </c>
      <c r="C138" s="271"/>
      <c r="D138" s="271"/>
      <c r="E138" s="272"/>
      <c r="F138" s="272"/>
      <c r="G138" s="272"/>
      <c r="H138" s="272"/>
      <c r="I138" s="271"/>
      <c r="J138" s="271"/>
      <c r="K138" s="273"/>
      <c r="L138" s="274"/>
      <c r="M138" s="274"/>
      <c r="N138" s="271"/>
      <c r="O138" s="271"/>
      <c r="P138" s="479" t="s">
        <v>464</v>
      </c>
      <c r="Q138" s="271"/>
      <c r="R138" s="308"/>
      <c r="S138" s="308"/>
      <c r="T138" s="480">
        <v>0</v>
      </c>
      <c r="U138" s="308"/>
      <c r="V138" s="480">
        <v>0</v>
      </c>
      <c r="W138" s="481"/>
      <c r="X138" s="480">
        <v>0</v>
      </c>
      <c r="Y138" s="481"/>
      <c r="Z138" s="480">
        <v>0</v>
      </c>
      <c r="AA138" s="481"/>
      <c r="AB138" s="480">
        <v>0.90999999991618097</v>
      </c>
      <c r="AC138" s="481"/>
      <c r="AD138" s="480">
        <v>0</v>
      </c>
      <c r="AE138" s="481"/>
      <c r="AF138" s="480">
        <v>0</v>
      </c>
      <c r="AG138" s="481"/>
      <c r="AH138" s="480">
        <v>0.45000000001164153</v>
      </c>
      <c r="AI138" s="481"/>
      <c r="AJ138" s="480">
        <v>0</v>
      </c>
      <c r="AK138" s="481"/>
      <c r="AL138" s="598">
        <v>0</v>
      </c>
      <c r="AM138" s="481"/>
      <c r="AN138" s="480">
        <v>0</v>
      </c>
      <c r="AO138" s="693"/>
      <c r="AP138" s="480">
        <v>0</v>
      </c>
      <c r="AQ138" s="600"/>
      <c r="AR138" s="481"/>
      <c r="AS138" s="487"/>
    </row>
    <row r="139" spans="1:45" s="488" customFormat="1" hidden="1">
      <c r="A139" s="271"/>
      <c r="B139" s="271" t="str">
        <f t="shared" si="43"/>
        <v>Hide</v>
      </c>
      <c r="C139" s="271"/>
      <c r="D139" s="271"/>
      <c r="E139" s="272"/>
      <c r="F139" s="272"/>
      <c r="G139" s="272"/>
      <c r="H139" s="272"/>
      <c r="I139" s="271"/>
      <c r="J139" s="271"/>
      <c r="K139" s="273"/>
      <c r="L139" s="274"/>
      <c r="M139" s="274"/>
      <c r="N139" s="271"/>
      <c r="O139" s="271"/>
      <c r="P139" s="479" t="s">
        <v>451</v>
      </c>
      <c r="Q139" s="271"/>
      <c r="R139" s="308"/>
      <c r="S139" s="308"/>
      <c r="T139" s="480">
        <v>0</v>
      </c>
      <c r="U139" s="308"/>
      <c r="V139" s="480">
        <v>0</v>
      </c>
      <c r="W139" s="481"/>
      <c r="X139" s="480">
        <v>0</v>
      </c>
      <c r="Y139" s="481"/>
      <c r="Z139" s="480">
        <v>0</v>
      </c>
      <c r="AA139" s="481"/>
      <c r="AB139" s="480">
        <v>-9.9999999998544808E-2</v>
      </c>
      <c r="AC139" s="481"/>
      <c r="AD139" s="480">
        <v>0</v>
      </c>
      <c r="AE139" s="481"/>
      <c r="AF139" s="480">
        <v>0</v>
      </c>
      <c r="AG139" s="481"/>
      <c r="AH139" s="480">
        <v>0</v>
      </c>
      <c r="AI139" s="481"/>
      <c r="AJ139" s="480">
        <v>0</v>
      </c>
      <c r="AK139" s="481"/>
      <c r="AL139" s="598">
        <v>0</v>
      </c>
      <c r="AM139" s="481"/>
      <c r="AN139" s="480">
        <v>0</v>
      </c>
      <c r="AO139" s="693"/>
      <c r="AP139" s="480">
        <v>0</v>
      </c>
      <c r="AQ139" s="600"/>
      <c r="AR139" s="481"/>
      <c r="AS139" s="487"/>
    </row>
    <row r="140" spans="1:45" s="488" customFormat="1" hidden="1">
      <c r="A140" s="271"/>
      <c r="B140" s="271" t="str">
        <f t="shared" si="43"/>
        <v>Hide</v>
      </c>
      <c r="C140" s="271"/>
      <c r="D140" s="271"/>
      <c r="E140" s="272"/>
      <c r="F140" s="272"/>
      <c r="G140" s="272"/>
      <c r="H140" s="272"/>
      <c r="I140" s="271"/>
      <c r="J140" s="271"/>
      <c r="K140" s="273"/>
      <c r="L140" s="274"/>
      <c r="M140" s="274"/>
      <c r="N140" s="271"/>
      <c r="O140" s="271"/>
      <c r="P140" s="479" t="s">
        <v>465</v>
      </c>
      <c r="Q140" s="271"/>
      <c r="R140" s="308"/>
      <c r="S140" s="308"/>
      <c r="T140" s="489">
        <v>0</v>
      </c>
      <c r="U140" s="308"/>
      <c r="V140" s="489">
        <v>0</v>
      </c>
      <c r="W140" s="486"/>
      <c r="X140" s="489">
        <v>0</v>
      </c>
      <c r="Y140" s="486"/>
      <c r="Z140" s="489">
        <v>0</v>
      </c>
      <c r="AA140" s="486"/>
      <c r="AB140" s="489">
        <v>0</v>
      </c>
      <c r="AC140" s="486"/>
      <c r="AD140" s="489">
        <v>0</v>
      </c>
      <c r="AE140" s="486"/>
      <c r="AF140" s="489">
        <v>0</v>
      </c>
      <c r="AG140" s="486"/>
      <c r="AH140" s="489">
        <v>0</v>
      </c>
      <c r="AI140" s="486"/>
      <c r="AJ140" s="489">
        <v>0</v>
      </c>
      <c r="AK140" s="486"/>
      <c r="AL140" s="602">
        <v>0</v>
      </c>
      <c r="AM140" s="486"/>
      <c r="AN140" s="489">
        <v>0</v>
      </c>
      <c r="AO140" s="486"/>
      <c r="AP140" s="489">
        <v>0</v>
      </c>
      <c r="AQ140" s="600"/>
      <c r="AR140" s="481"/>
      <c r="AS140" s="487"/>
    </row>
    <row r="141" spans="1:45" hidden="1">
      <c r="B141" s="271" t="str">
        <f t="shared" si="43"/>
        <v>Hide</v>
      </c>
      <c r="P141" s="283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M141" s="308"/>
      <c r="AN141" s="308"/>
      <c r="AO141" s="401"/>
      <c r="AP141" s="308"/>
      <c r="AR141" s="308"/>
      <c r="AS141" s="434"/>
    </row>
    <row r="142" spans="1:45" hidden="1">
      <c r="B142" s="271" t="str">
        <f>IF(COUNTIF(V142:AP142,"ERROR")=0,"Hide","Show")</f>
        <v>Hide</v>
      </c>
      <c r="P142" s="283"/>
      <c r="R142" s="308">
        <f>COUNTIF(V142:AP142,"ERROR")</f>
        <v>0</v>
      </c>
      <c r="S142" s="308"/>
      <c r="T142" s="308"/>
      <c r="U142" s="308"/>
      <c r="V142" s="312" t="str">
        <f>IF(OR(ABS(V137)&gt;10,ABS(V138)&gt;10,ABS(V139)&gt;10,ABS(V140)&gt;10),"ERROR","")</f>
        <v/>
      </c>
      <c r="W142" s="312"/>
      <c r="X142" s="312" t="str">
        <f>IF(OR(ABS(X137)&gt;10,ABS(X138)&gt;10,ABS(X139)&gt;10,ABS(X140)&gt;10),"ERROR","")</f>
        <v/>
      </c>
      <c r="Y142" s="312"/>
      <c r="Z142" s="312" t="str">
        <f>IF(OR(ABS(Z137)&gt;10,ABS(Z138)&gt;10,ABS(Z139)&gt;10,ABS(Z140)&gt;10),"ERROR","")</f>
        <v/>
      </c>
      <c r="AA142" s="312"/>
      <c r="AB142" s="312" t="str">
        <f>IF(OR(ABS(AB137)&gt;10,ABS(AB138)&gt;10,ABS(AB139)&gt;10,ABS(AB140)&gt;10),"ERROR","")</f>
        <v/>
      </c>
      <c r="AC142" s="312"/>
      <c r="AD142" s="312" t="str">
        <f>IF(OR(ABS(AD137)&gt;10,ABS(AD138)&gt;10,ABS(AD139)&gt;10,ABS(AD140)&gt;10),"ERROR","")</f>
        <v/>
      </c>
      <c r="AE142" s="312"/>
      <c r="AF142" s="312" t="str">
        <f>IF(OR(ABS(AF137)&gt;10,ABS(AF138)&gt;10,ABS(AF139)&gt;10,ABS(AF140)&gt;10),"ERROR","")</f>
        <v/>
      </c>
      <c r="AG142" s="312"/>
      <c r="AH142" s="312" t="str">
        <f>IF(OR(ABS(AH137)&gt;10,ABS(AH138)&gt;10,ABS(AH139)&gt;10,ABS(AH140)&gt;10),"ERROR","")</f>
        <v/>
      </c>
      <c r="AI142" s="312"/>
      <c r="AJ142" s="312"/>
      <c r="AK142" s="312"/>
      <c r="AL142" s="275"/>
      <c r="AM142" s="312"/>
      <c r="AN142" s="312" t="str">
        <f>IF(OR(ABS(AN137)&gt;10,ABS(AN138)&gt;10,ABS(AN139)&gt;10,ABS(AN140)&gt;10),"ERROR","")</f>
        <v/>
      </c>
      <c r="AO142" s="694"/>
      <c r="AP142" s="312"/>
      <c r="AR142" s="308"/>
      <c r="AS142" s="434"/>
    </row>
    <row r="143" spans="1:45" hidden="1">
      <c r="B143" s="271" t="s">
        <v>31</v>
      </c>
      <c r="P143" s="283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M143" s="308"/>
      <c r="AN143" s="308"/>
      <c r="AO143" s="401"/>
      <c r="AP143" s="308"/>
      <c r="AR143" s="308"/>
      <c r="AS143" s="434"/>
    </row>
    <row r="144" spans="1:45" hidden="1">
      <c r="B144" s="271" t="s">
        <v>31</v>
      </c>
      <c r="P144" s="283"/>
      <c r="R144" s="308"/>
      <c r="S144" s="308"/>
      <c r="T144" s="312" t="s">
        <v>461</v>
      </c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12" t="s">
        <v>466</v>
      </c>
      <c r="AE144" s="308"/>
      <c r="AF144" s="312" t="s">
        <v>466</v>
      </c>
      <c r="AG144" s="308"/>
      <c r="AH144" s="308"/>
      <c r="AI144" s="308"/>
      <c r="AJ144" s="308"/>
      <c r="AK144" s="308"/>
      <c r="AM144" s="308"/>
      <c r="AN144" s="308"/>
      <c r="AO144" s="401"/>
      <c r="AP144" s="308"/>
      <c r="AR144" s="308"/>
      <c r="AS144" s="434"/>
    </row>
    <row r="145" spans="2:45" hidden="1">
      <c r="B145" s="271" t="s">
        <v>31</v>
      </c>
      <c r="P145" s="479" t="s">
        <v>463</v>
      </c>
      <c r="R145" s="308"/>
      <c r="S145" s="308"/>
      <c r="T145" s="481">
        <f>T129</f>
        <v>1690939</v>
      </c>
      <c r="U145" s="308"/>
      <c r="V145" s="308"/>
      <c r="W145" s="308"/>
      <c r="X145" s="308"/>
      <c r="Y145" s="308"/>
      <c r="Z145" s="308"/>
      <c r="AA145" s="308"/>
      <c r="AB145" s="308"/>
      <c r="AC145" s="308"/>
      <c r="AD145" s="480">
        <v>0</v>
      </c>
      <c r="AE145" s="308"/>
      <c r="AF145" s="480">
        <v>0</v>
      </c>
      <c r="AG145" s="308"/>
      <c r="AH145" s="308"/>
      <c r="AI145" s="308"/>
      <c r="AJ145" s="308"/>
      <c r="AK145" s="308"/>
      <c r="AM145" s="308"/>
      <c r="AN145" s="308"/>
      <c r="AO145" s="401"/>
      <c r="AP145" s="308"/>
      <c r="AR145" s="308"/>
      <c r="AS145" s="434"/>
    </row>
    <row r="146" spans="2:45" hidden="1">
      <c r="B146" s="271" t="s">
        <v>31</v>
      </c>
      <c r="P146" s="479" t="s">
        <v>464</v>
      </c>
      <c r="R146" s="308"/>
      <c r="S146" s="308"/>
      <c r="T146" s="481">
        <f>IF(ISERROR(HLOOKUP(F22,Balance_Sheet!N10:AC11,2)),0,HLOOKUP(F22,Balance_Sheet!N10:AC11,2))</f>
        <v>1690940</v>
      </c>
      <c r="U146" s="308"/>
      <c r="V146" s="308"/>
      <c r="W146" s="308"/>
      <c r="X146" s="308"/>
      <c r="Y146" s="308"/>
      <c r="Z146" s="308"/>
      <c r="AA146" s="308"/>
      <c r="AB146" s="308"/>
      <c r="AC146" s="308"/>
      <c r="AD146" s="480">
        <v>0</v>
      </c>
      <c r="AE146" s="308"/>
      <c r="AF146" s="480">
        <v>0</v>
      </c>
      <c r="AG146" s="308"/>
      <c r="AH146" s="308"/>
      <c r="AI146" s="308"/>
      <c r="AJ146" s="308"/>
      <c r="AK146" s="308"/>
      <c r="AM146" s="308"/>
      <c r="AN146" s="308"/>
      <c r="AO146" s="401"/>
      <c r="AP146" s="308"/>
      <c r="AR146" s="308"/>
      <c r="AS146" s="434"/>
    </row>
    <row r="147" spans="2:45" hidden="1">
      <c r="B147" s="271" t="s">
        <v>31</v>
      </c>
      <c r="P147" s="479" t="s">
        <v>451</v>
      </c>
      <c r="R147" s="308"/>
      <c r="S147" s="308"/>
      <c r="T147" s="496">
        <f>T146-T145</f>
        <v>1</v>
      </c>
      <c r="U147" s="308"/>
      <c r="V147" s="308"/>
      <c r="W147" s="308"/>
      <c r="X147" s="308"/>
      <c r="Y147" s="308"/>
      <c r="Z147" s="308"/>
      <c r="AA147" s="308"/>
      <c r="AB147" s="308"/>
      <c r="AC147" s="308"/>
      <c r="AD147" s="480">
        <v>0</v>
      </c>
      <c r="AE147" s="308"/>
      <c r="AF147" s="480">
        <v>0</v>
      </c>
      <c r="AG147" s="308"/>
      <c r="AH147" s="308"/>
      <c r="AI147" s="308"/>
      <c r="AJ147" s="308"/>
      <c r="AK147" s="308"/>
      <c r="AM147" s="308"/>
      <c r="AN147" s="308"/>
      <c r="AO147" s="401"/>
      <c r="AP147" s="308"/>
      <c r="AR147" s="308"/>
      <c r="AS147" s="434"/>
    </row>
    <row r="148" spans="2:45" hidden="1">
      <c r="B148" s="271" t="s">
        <v>31</v>
      </c>
      <c r="P148" s="479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480">
        <f>ABS(AD145)+ABS(AD146)+ABS(AD147)</f>
        <v>0</v>
      </c>
      <c r="AE148" s="308"/>
      <c r="AF148" s="480">
        <f>ABS(AF145)+ABS(AF146)+ABS(AF147)</f>
        <v>0</v>
      </c>
      <c r="AG148" s="308"/>
      <c r="AH148" s="308"/>
      <c r="AI148" s="308"/>
      <c r="AJ148" s="308"/>
      <c r="AK148" s="308"/>
      <c r="AM148" s="308"/>
      <c r="AN148" s="308"/>
      <c r="AO148" s="401"/>
      <c r="AP148" s="308"/>
      <c r="AR148" s="308"/>
      <c r="AS148" s="434"/>
    </row>
    <row r="149" spans="2:45" hidden="1">
      <c r="B149" s="271" t="str">
        <f t="shared" ref="B149:B158" si="56">B148</f>
        <v>Hide</v>
      </c>
      <c r="P149" s="283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M149" s="308"/>
      <c r="AN149" s="308"/>
      <c r="AO149" s="401"/>
      <c r="AP149" s="308"/>
      <c r="AR149" s="308"/>
      <c r="AS149" s="434"/>
    </row>
    <row r="150" spans="2:45" hidden="1">
      <c r="B150" s="271" t="str">
        <f t="shared" si="56"/>
        <v>Hide</v>
      </c>
      <c r="P150" s="283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M150" s="308"/>
      <c r="AN150" s="308"/>
      <c r="AO150" s="401"/>
      <c r="AP150" s="308"/>
      <c r="AR150" s="308"/>
      <c r="AS150" s="434"/>
    </row>
    <row r="151" spans="2:45" ht="13.5" hidden="1">
      <c r="B151" s="271" t="str">
        <f t="shared" si="56"/>
        <v>Hide</v>
      </c>
      <c r="P151" s="497">
        <v>361001</v>
      </c>
      <c r="R151" s="498" t="s">
        <v>467</v>
      </c>
      <c r="S151" s="308"/>
      <c r="T151" s="308"/>
      <c r="U151" s="308"/>
      <c r="V151" s="498"/>
      <c r="W151" s="308"/>
      <c r="X151" s="499">
        <v>224</v>
      </c>
      <c r="Y151" s="308"/>
      <c r="Z151" s="500">
        <f>IF($X151=0,0,$AB151)</f>
        <v>1</v>
      </c>
      <c r="AA151" s="308"/>
      <c r="AB151" s="695">
        <f>T147</f>
        <v>1</v>
      </c>
      <c r="AC151" s="308"/>
      <c r="AD151" s="308"/>
      <c r="AE151" s="308"/>
      <c r="AF151" s="308"/>
      <c r="AG151" s="308"/>
      <c r="AH151" s="308"/>
      <c r="AI151" s="308"/>
      <c r="AJ151" s="308"/>
      <c r="AK151" s="308"/>
      <c r="AM151" s="308"/>
      <c r="AN151" s="308"/>
      <c r="AO151" s="401"/>
      <c r="AP151" s="308"/>
      <c r="AR151" s="308"/>
      <c r="AS151" s="434"/>
    </row>
    <row r="152" spans="2:45" ht="13.5" hidden="1">
      <c r="B152" s="271" t="str">
        <f t="shared" si="56"/>
        <v>Hide</v>
      </c>
      <c r="P152" s="497">
        <v>549001</v>
      </c>
      <c r="R152" s="498" t="s">
        <v>468</v>
      </c>
      <c r="S152" s="308"/>
      <c r="T152" s="308"/>
      <c r="U152" s="308"/>
      <c r="V152" s="498">
        <v>51301</v>
      </c>
      <c r="W152" s="308"/>
      <c r="X152" s="499">
        <v>0</v>
      </c>
      <c r="Y152" s="308"/>
      <c r="Z152" s="500">
        <f>IF($X152=0,0,IF($Z151=0,$AB152,0))</f>
        <v>0</v>
      </c>
      <c r="AA152" s="308"/>
      <c r="AB152" s="695">
        <f t="shared" ref="AB152:AB158" si="57">$AB151</f>
        <v>1</v>
      </c>
      <c r="AC152" s="308"/>
      <c r="AD152" s="308"/>
      <c r="AE152" s="308"/>
      <c r="AF152" s="308"/>
      <c r="AG152" s="308"/>
      <c r="AH152" s="308"/>
      <c r="AI152" s="308"/>
      <c r="AJ152" s="308"/>
      <c r="AK152" s="308"/>
      <c r="AM152" s="308"/>
      <c r="AN152" s="308"/>
      <c r="AO152" s="401"/>
      <c r="AP152" s="308"/>
      <c r="AR152" s="308"/>
      <c r="AS152" s="434"/>
    </row>
    <row r="153" spans="2:45" ht="13.5" hidden="1">
      <c r="B153" s="271" t="str">
        <f t="shared" si="56"/>
        <v>Hide</v>
      </c>
      <c r="P153" s="497">
        <v>549900</v>
      </c>
      <c r="R153" s="498" t="s">
        <v>469</v>
      </c>
      <c r="S153" s="308"/>
      <c r="T153" s="308"/>
      <c r="U153" s="308"/>
      <c r="V153" s="498">
        <v>51301</v>
      </c>
      <c r="W153" s="308"/>
      <c r="X153" s="499">
        <v>0</v>
      </c>
      <c r="Y153" s="308"/>
      <c r="Z153" s="500">
        <f>IF($X153=0,0,IF(SUM($Z151:$Z152)=0,$AB153,0))</f>
        <v>0</v>
      </c>
      <c r="AA153" s="308"/>
      <c r="AB153" s="695">
        <f t="shared" si="57"/>
        <v>1</v>
      </c>
      <c r="AC153" s="308"/>
      <c r="AD153" s="308"/>
      <c r="AE153" s="308"/>
      <c r="AF153" s="308"/>
      <c r="AG153" s="308"/>
      <c r="AH153" s="308"/>
      <c r="AI153" s="308"/>
      <c r="AJ153" s="308"/>
      <c r="AK153" s="308"/>
      <c r="AM153" s="308"/>
      <c r="AN153" s="308"/>
      <c r="AO153" s="401"/>
      <c r="AP153" s="308"/>
      <c r="AR153" s="308"/>
      <c r="AS153" s="434"/>
    </row>
    <row r="154" spans="2:45" ht="13.5" hidden="1">
      <c r="B154" s="271" t="str">
        <f t="shared" si="56"/>
        <v>Hide</v>
      </c>
      <c r="P154" s="497">
        <v>565001</v>
      </c>
      <c r="R154" s="498" t="s">
        <v>439</v>
      </c>
      <c r="S154" s="308"/>
      <c r="T154" s="308"/>
      <c r="U154" s="308"/>
      <c r="V154" s="498" t="s">
        <v>470</v>
      </c>
      <c r="W154" s="308"/>
      <c r="X154" s="499">
        <v>0</v>
      </c>
      <c r="Y154" s="308"/>
      <c r="Z154" s="500">
        <f>IF($X154=0,0,IF(SUM($Z151:$Z153)=0,$AB154,0))</f>
        <v>0</v>
      </c>
      <c r="AA154" s="308"/>
      <c r="AB154" s="695">
        <f t="shared" si="57"/>
        <v>1</v>
      </c>
      <c r="AC154" s="308"/>
      <c r="AD154" s="308"/>
      <c r="AE154" s="308"/>
      <c r="AF154" s="308"/>
      <c r="AG154" s="308"/>
      <c r="AH154" s="308"/>
      <c r="AI154" s="308"/>
      <c r="AJ154" s="308"/>
      <c r="AK154" s="308"/>
      <c r="AM154" s="308"/>
      <c r="AN154" s="308"/>
      <c r="AO154" s="401"/>
      <c r="AP154" s="308"/>
      <c r="AR154" s="308"/>
      <c r="AS154" s="434"/>
    </row>
    <row r="155" spans="2:45" ht="13.5" hidden="1">
      <c r="B155" s="271" t="str">
        <f t="shared" si="56"/>
        <v>Hide</v>
      </c>
      <c r="P155" s="497">
        <f t="shared" ref="P155:P157" si="58">P154+1</f>
        <v>565002</v>
      </c>
      <c r="R155" s="498" t="s">
        <v>439</v>
      </c>
      <c r="S155" s="308"/>
      <c r="T155" s="308"/>
      <c r="U155" s="308"/>
      <c r="V155" s="498" t="s">
        <v>470</v>
      </c>
      <c r="W155" s="308"/>
      <c r="X155" s="499">
        <v>0</v>
      </c>
      <c r="Y155" s="308"/>
      <c r="Z155" s="500">
        <f>IF($X155=0,0,IF(SUM($Z151:$Z154)=0,$AB155,0))</f>
        <v>0</v>
      </c>
      <c r="AA155" s="308"/>
      <c r="AB155" s="695">
        <f t="shared" si="57"/>
        <v>1</v>
      </c>
      <c r="AC155" s="308"/>
      <c r="AD155" s="308"/>
      <c r="AE155" s="308"/>
      <c r="AF155" s="308"/>
      <c r="AG155" s="308"/>
      <c r="AH155" s="308"/>
      <c r="AI155" s="308"/>
      <c r="AJ155" s="308"/>
      <c r="AK155" s="308"/>
      <c r="AM155" s="308"/>
      <c r="AN155" s="308"/>
      <c r="AO155" s="401"/>
      <c r="AP155" s="308"/>
      <c r="AR155" s="308"/>
      <c r="AS155" s="434"/>
    </row>
    <row r="156" spans="2:45" ht="13.5" hidden="1">
      <c r="B156" s="271" t="str">
        <f t="shared" si="56"/>
        <v>Hide</v>
      </c>
      <c r="P156" s="497">
        <f t="shared" si="58"/>
        <v>565003</v>
      </c>
      <c r="R156" s="498" t="s">
        <v>439</v>
      </c>
      <c r="S156" s="308"/>
      <c r="T156" s="308"/>
      <c r="U156" s="308"/>
      <c r="V156" s="498" t="s">
        <v>470</v>
      </c>
      <c r="W156" s="308"/>
      <c r="X156" s="499">
        <v>0</v>
      </c>
      <c r="Y156" s="308"/>
      <c r="Z156" s="500">
        <f>IF($X156=0,0,IF(SUM($Z151:$Z155)=0,$AB156,0))</f>
        <v>0</v>
      </c>
      <c r="AA156" s="308"/>
      <c r="AB156" s="695">
        <f t="shared" si="57"/>
        <v>1</v>
      </c>
      <c r="AC156" s="308"/>
      <c r="AD156" s="308"/>
      <c r="AE156" s="308"/>
      <c r="AF156" s="308"/>
      <c r="AG156" s="308"/>
      <c r="AH156" s="308"/>
      <c r="AI156" s="308"/>
      <c r="AJ156" s="308"/>
      <c r="AK156" s="308"/>
      <c r="AM156" s="308"/>
      <c r="AN156" s="308"/>
      <c r="AO156" s="401"/>
      <c r="AP156" s="308"/>
      <c r="AR156" s="308"/>
      <c r="AS156" s="434"/>
    </row>
    <row r="157" spans="2:45" ht="13.5" hidden="1">
      <c r="B157" s="271" t="str">
        <f t="shared" si="56"/>
        <v>Hide</v>
      </c>
      <c r="P157" s="497">
        <f t="shared" si="58"/>
        <v>565004</v>
      </c>
      <c r="R157" s="498" t="s">
        <v>439</v>
      </c>
      <c r="S157" s="308"/>
      <c r="T157" s="308"/>
      <c r="U157" s="308"/>
      <c r="V157" s="498" t="s">
        <v>470</v>
      </c>
      <c r="W157" s="308"/>
      <c r="X157" s="499">
        <v>0</v>
      </c>
      <c r="Y157" s="308"/>
      <c r="Z157" s="500">
        <f>IF($X157=0,0,IF(SUM($Z151:$Z156)=0,$AB157,0))</f>
        <v>0</v>
      </c>
      <c r="AA157" s="308"/>
      <c r="AB157" s="695">
        <f t="shared" si="57"/>
        <v>1</v>
      </c>
      <c r="AC157" s="308"/>
      <c r="AD157" s="308"/>
      <c r="AE157" s="308"/>
      <c r="AF157" s="308"/>
      <c r="AG157" s="308"/>
      <c r="AH157" s="308"/>
      <c r="AI157" s="308"/>
      <c r="AJ157" s="308"/>
      <c r="AK157" s="308"/>
      <c r="AM157" s="308"/>
      <c r="AN157" s="308"/>
      <c r="AO157" s="401"/>
      <c r="AP157" s="308"/>
      <c r="AR157" s="308"/>
      <c r="AS157" s="434"/>
    </row>
    <row r="158" spans="2:45" hidden="1">
      <c r="B158" s="271" t="str">
        <f t="shared" si="56"/>
        <v>Hide</v>
      </c>
      <c r="R158" s="498" t="s">
        <v>471</v>
      </c>
      <c r="S158" s="308"/>
      <c r="T158" s="308"/>
      <c r="U158" s="308"/>
      <c r="V158" s="308"/>
      <c r="W158" s="308"/>
      <c r="X158" s="502"/>
      <c r="Y158" s="308"/>
      <c r="Z158" s="500">
        <f>IF(SUM($Z151:$Z157)=0,$AB158,0)</f>
        <v>0</v>
      </c>
      <c r="AA158" s="308"/>
      <c r="AB158" s="695">
        <f t="shared" si="57"/>
        <v>1</v>
      </c>
      <c r="AC158" s="308"/>
      <c r="AD158" s="308"/>
      <c r="AE158" s="308"/>
      <c r="AF158" s="308"/>
      <c r="AG158" s="308"/>
      <c r="AH158" s="308"/>
      <c r="AI158" s="308"/>
      <c r="AJ158" s="308"/>
      <c r="AK158" s="308"/>
      <c r="AM158" s="308"/>
      <c r="AN158" s="308"/>
      <c r="AO158" s="401"/>
      <c r="AP158" s="308"/>
      <c r="AR158" s="308"/>
      <c r="AS158" s="434"/>
    </row>
    <row r="159" spans="2:45" hidden="1"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M159" s="308"/>
      <c r="AN159" s="308"/>
      <c r="AO159" s="401"/>
      <c r="AP159" s="308"/>
      <c r="AR159" s="308"/>
      <c r="AS159" s="434"/>
    </row>
    <row r="160" spans="2:45">
      <c r="R160" s="378" t="s">
        <v>472</v>
      </c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84">
        <f ca="1">AL129-AF129</f>
        <v>-5600</v>
      </c>
      <c r="AM160" s="308"/>
      <c r="AN160" s="308"/>
      <c r="AO160" s="401"/>
      <c r="AP160" s="308"/>
      <c r="AR160" s="308"/>
      <c r="AS160" s="434"/>
    </row>
  </sheetData>
  <sheetProtection selectLockedCells="1" selectUnlockedCells="1"/>
  <mergeCells count="6">
    <mergeCell ref="R25:AP25"/>
    <mergeCell ref="R26:AP26"/>
    <mergeCell ref="R27:AP27"/>
    <mergeCell ref="P29:AP29"/>
    <mergeCell ref="P35:AP35"/>
    <mergeCell ref="R36:AP36"/>
  </mergeCells>
  <printOptions horizontalCentered="1"/>
  <pageMargins left="0.75" right="0.75" top="1.5166666666666666" bottom="1.1277777777777778" header="0.4" footer="0.35"/>
  <pageSetup scale="70" firstPageNumber="0" orientation="landscape" horizontalDpi="300" verticalDpi="300"/>
  <headerFooter alignWithMargins="0">
    <oddHeader>&amp;L&amp;"Arial black,Bold"&amp;15HARMONY
Community Development District&amp;R&amp;"Arial,Italic"&amp;13 014 Debt Service Fund</oddHeader>
    <oddFooter>&amp;L     Fiscal Year 2017
     Annual Operating and Debt Service Budget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53"/>
  <sheetViews>
    <sheetView topLeftCell="B5" zoomScaleSheetLayoutView="100" workbookViewId="0">
      <selection sqref="A1:H1"/>
    </sheetView>
  </sheetViews>
  <sheetFormatPr defaultColWidth="0" defaultRowHeight="12.75"/>
  <cols>
    <col min="1" max="1" width="0" style="696" hidden="1"/>
    <col min="2" max="2" width="11.42578125" style="697" customWidth="1"/>
    <col min="3" max="6" width="18.28515625" style="697" customWidth="1"/>
    <col min="7" max="7" width="0" style="697" hidden="1"/>
    <col min="8" max="8" width="18.28515625" style="697" customWidth="1"/>
    <col min="9" max="251" width="10.7109375" style="698" customWidth="1"/>
    <col min="252" max="252" width="2.42578125" style="698" customWidth="1"/>
    <col min="253" max="253" width="11.42578125" style="698" customWidth="1"/>
    <col min="254" max="255" width="19.140625" style="698" customWidth="1"/>
    <col min="256" max="16384" width="0" style="698" hidden="1"/>
  </cols>
  <sheetData>
    <row r="1" spans="1:8" ht="18" hidden="1" customHeight="1">
      <c r="A1" s="1434" t="s">
        <v>135</v>
      </c>
      <c r="B1" s="1434"/>
      <c r="C1" s="1434"/>
      <c r="D1" s="1434"/>
      <c r="E1" s="1434"/>
      <c r="F1" s="1434"/>
      <c r="G1" s="1434"/>
      <c r="H1" s="1434"/>
    </row>
    <row r="2" spans="1:8" ht="15.95" hidden="1" customHeight="1">
      <c r="A2" s="1434" t="s">
        <v>136</v>
      </c>
      <c r="B2" s="1434"/>
      <c r="C2" s="1434"/>
      <c r="D2" s="1434"/>
      <c r="E2" s="696"/>
      <c r="F2" s="696"/>
      <c r="G2" s="696"/>
      <c r="H2" s="699"/>
    </row>
    <row r="3" spans="1:8" ht="12" hidden="1" customHeight="1">
      <c r="A3" s="1434" t="s">
        <v>539</v>
      </c>
      <c r="B3" s="1434"/>
      <c r="C3" s="1434"/>
      <c r="D3" s="1434"/>
      <c r="E3" s="696"/>
      <c r="F3" s="696"/>
      <c r="G3" s="696"/>
    </row>
    <row r="4" spans="1:8" ht="6" hidden="1" customHeight="1">
      <c r="B4" s="696"/>
      <c r="C4" s="696"/>
      <c r="D4" s="696"/>
      <c r="E4" s="696"/>
      <c r="F4" s="696"/>
      <c r="G4" s="696"/>
      <c r="H4" s="696"/>
    </row>
    <row r="5" spans="1:8">
      <c r="A5" s="700"/>
      <c r="B5" s="1435" t="s">
        <v>540</v>
      </c>
      <c r="C5" s="1435"/>
      <c r="D5" s="1435"/>
      <c r="E5" s="1435"/>
      <c r="F5" s="1435"/>
      <c r="G5" s="1435"/>
      <c r="H5" s="1435"/>
    </row>
    <row r="6" spans="1:8">
      <c r="A6" s="700"/>
      <c r="B6" s="1435" t="s">
        <v>541</v>
      </c>
      <c r="C6" s="1435"/>
      <c r="D6" s="1435"/>
      <c r="E6" s="1435"/>
      <c r="F6" s="1435"/>
      <c r="G6" s="1435"/>
      <c r="H6" s="1435"/>
    </row>
    <row r="7" spans="1:8">
      <c r="A7" s="699"/>
      <c r="B7" s="701"/>
      <c r="C7" s="701"/>
      <c r="D7" s="701"/>
      <c r="E7" s="701"/>
      <c r="F7" s="701"/>
      <c r="G7" s="701"/>
      <c r="H7" s="701"/>
    </row>
    <row r="8" spans="1:8">
      <c r="B8" s="702" t="s">
        <v>542</v>
      </c>
      <c r="C8" s="703" t="s">
        <v>543</v>
      </c>
      <c r="D8" s="704"/>
      <c r="E8" s="705" t="s">
        <v>544</v>
      </c>
      <c r="F8" s="705"/>
      <c r="G8" s="706"/>
      <c r="H8" s="707" t="s">
        <v>545</v>
      </c>
    </row>
    <row r="9" spans="1:8" s="714" customFormat="1">
      <c r="A9" s="708"/>
      <c r="B9" s="709" t="s">
        <v>546</v>
      </c>
      <c r="C9" s="710" t="s">
        <v>547</v>
      </c>
      <c r="D9" s="711" t="s">
        <v>548</v>
      </c>
      <c r="E9" s="712" t="s">
        <v>549</v>
      </c>
      <c r="F9" s="711" t="s">
        <v>550</v>
      </c>
      <c r="G9" s="711" t="s">
        <v>551</v>
      </c>
      <c r="H9" s="713" t="s">
        <v>552</v>
      </c>
    </row>
    <row r="10" spans="1:8" ht="8.1" customHeight="1">
      <c r="B10" s="715"/>
      <c r="C10" s="715"/>
      <c r="D10" s="715"/>
      <c r="E10" s="715"/>
      <c r="F10" s="715"/>
      <c r="G10" s="715"/>
      <c r="H10" s="715"/>
    </row>
    <row r="11" spans="1:8" hidden="1">
      <c r="B11" s="715"/>
      <c r="C11" s="715"/>
      <c r="D11" s="715"/>
      <c r="E11" s="715"/>
      <c r="F11" s="715"/>
      <c r="G11" s="715"/>
      <c r="H11" s="715"/>
    </row>
    <row r="12" spans="1:8" hidden="1">
      <c r="B12" s="715"/>
      <c r="C12" s="715"/>
      <c r="D12" s="715"/>
      <c r="E12" s="715"/>
      <c r="F12" s="715"/>
      <c r="G12" s="715"/>
      <c r="H12" s="715"/>
    </row>
    <row r="13" spans="1:8" ht="16.149999999999999" customHeight="1">
      <c r="B13" s="716">
        <v>42491</v>
      </c>
      <c r="C13" s="717">
        <v>13415000</v>
      </c>
      <c r="D13" s="717">
        <v>520000</v>
      </c>
      <c r="E13" s="718">
        <v>0.05</v>
      </c>
      <c r="F13" s="717">
        <v>334450</v>
      </c>
      <c r="G13" s="719">
        <f>D13+F13</f>
        <v>854450</v>
      </c>
      <c r="H13" s="719">
        <f>+D13+2*F13</f>
        <v>1188900</v>
      </c>
    </row>
    <row r="14" spans="1:8" ht="16.149999999999999" customHeight="1">
      <c r="B14" s="720">
        <v>42675</v>
      </c>
      <c r="C14" s="721">
        <f t="shared" ref="C14:C45" si="0">+C13-D13</f>
        <v>12895000</v>
      </c>
      <c r="D14" s="721"/>
      <c r="E14" s="722"/>
      <c r="F14" s="721">
        <v>331062.5</v>
      </c>
      <c r="G14" s="723">
        <v>331062.5</v>
      </c>
      <c r="H14" s="724"/>
    </row>
    <row r="15" spans="1:8" ht="16.149999999999999" customHeight="1">
      <c r="B15" s="725">
        <v>42856</v>
      </c>
      <c r="C15" s="726">
        <f t="shared" si="0"/>
        <v>12895000</v>
      </c>
      <c r="D15" s="726">
        <v>535000</v>
      </c>
      <c r="E15" s="727">
        <v>0.05</v>
      </c>
      <c r="F15" s="726">
        <v>331062.5</v>
      </c>
      <c r="G15" s="728">
        <v>866062.5</v>
      </c>
      <c r="H15" s="729">
        <f>+G15+G14</f>
        <v>1197125</v>
      </c>
    </row>
    <row r="16" spans="1:8" ht="16.149999999999999" customHeight="1">
      <c r="B16" s="716">
        <v>43040</v>
      </c>
      <c r="C16" s="717">
        <f t="shared" si="0"/>
        <v>12360000</v>
      </c>
      <c r="D16" s="717"/>
      <c r="E16" s="730"/>
      <c r="F16" s="717">
        <v>317687.5</v>
      </c>
      <c r="G16" s="719">
        <v>317687.5</v>
      </c>
      <c r="H16" s="719"/>
    </row>
    <row r="17" spans="2:8" ht="16.149999999999999" customHeight="1">
      <c r="B17" s="716">
        <v>43221</v>
      </c>
      <c r="C17" s="717">
        <f t="shared" si="0"/>
        <v>12360000</v>
      </c>
      <c r="D17" s="717">
        <v>565000</v>
      </c>
      <c r="E17" s="718">
        <v>0.05</v>
      </c>
      <c r="F17" s="717">
        <v>317687.5</v>
      </c>
      <c r="G17" s="719">
        <v>882687.5</v>
      </c>
      <c r="H17" s="719">
        <f>+G17+G16</f>
        <v>1200375</v>
      </c>
    </row>
    <row r="18" spans="2:8" ht="16.149999999999999" customHeight="1">
      <c r="B18" s="716">
        <v>43405</v>
      </c>
      <c r="C18" s="717">
        <f t="shared" si="0"/>
        <v>11795000</v>
      </c>
      <c r="D18" s="717"/>
      <c r="E18" s="730"/>
      <c r="F18" s="717">
        <v>303562.5</v>
      </c>
      <c r="G18" s="719">
        <v>303562.5</v>
      </c>
      <c r="H18" s="719"/>
    </row>
    <row r="19" spans="2:8" ht="16.149999999999999" customHeight="1">
      <c r="B19" s="716">
        <v>43586</v>
      </c>
      <c r="C19" s="717">
        <f t="shared" si="0"/>
        <v>11795000</v>
      </c>
      <c r="D19" s="717">
        <v>590000</v>
      </c>
      <c r="E19" s="718">
        <v>0.05</v>
      </c>
      <c r="F19" s="717">
        <v>303562.5</v>
      </c>
      <c r="G19" s="719">
        <v>893562.5</v>
      </c>
      <c r="H19" s="719">
        <f>+G19+G18</f>
        <v>1197125</v>
      </c>
    </row>
    <row r="20" spans="2:8" ht="16.149999999999999" customHeight="1">
      <c r="B20" s="716">
        <v>43770</v>
      </c>
      <c r="C20" s="717">
        <f t="shared" si="0"/>
        <v>11205000</v>
      </c>
      <c r="D20" s="717"/>
      <c r="E20" s="730"/>
      <c r="F20" s="717">
        <v>288812.5</v>
      </c>
      <c r="G20" s="719">
        <v>288812.5</v>
      </c>
      <c r="H20" s="719"/>
    </row>
    <row r="21" spans="2:8" ht="16.149999999999999" customHeight="1">
      <c r="B21" s="716">
        <v>43952</v>
      </c>
      <c r="C21" s="717">
        <f t="shared" si="0"/>
        <v>11205000</v>
      </c>
      <c r="D21" s="717">
        <v>625000</v>
      </c>
      <c r="E21" s="718">
        <v>0.05</v>
      </c>
      <c r="F21" s="717">
        <v>288812.5</v>
      </c>
      <c r="G21" s="719">
        <v>913812.5</v>
      </c>
      <c r="H21" s="719">
        <f>+G21+G20</f>
        <v>1202625</v>
      </c>
    </row>
    <row r="22" spans="2:8" ht="16.149999999999999" customHeight="1">
      <c r="B22" s="716">
        <v>44136</v>
      </c>
      <c r="C22" s="717">
        <f t="shared" si="0"/>
        <v>10580000</v>
      </c>
      <c r="D22" s="717"/>
      <c r="E22" s="730"/>
      <c r="F22" s="717">
        <v>273187.5</v>
      </c>
      <c r="G22" s="719">
        <v>273187.5</v>
      </c>
      <c r="H22" s="719"/>
    </row>
    <row r="23" spans="2:8" ht="16.149999999999999" customHeight="1">
      <c r="B23" s="716">
        <v>44317</v>
      </c>
      <c r="C23" s="717">
        <f t="shared" si="0"/>
        <v>10580000</v>
      </c>
      <c r="D23" s="717">
        <v>655000</v>
      </c>
      <c r="E23" s="718">
        <v>0.05</v>
      </c>
      <c r="F23" s="717">
        <v>273187.5</v>
      </c>
      <c r="G23" s="719">
        <v>928187.5</v>
      </c>
      <c r="H23" s="719">
        <f>+G23+G22</f>
        <v>1201375</v>
      </c>
    </row>
    <row r="24" spans="2:8" ht="16.149999999999999" customHeight="1">
      <c r="B24" s="716">
        <v>44501</v>
      </c>
      <c r="C24" s="717">
        <f t="shared" si="0"/>
        <v>9925000</v>
      </c>
      <c r="D24" s="717"/>
      <c r="E24" s="730"/>
      <c r="F24" s="717">
        <v>256812.5</v>
      </c>
      <c r="G24" s="719">
        <v>256812.5</v>
      </c>
      <c r="H24" s="719"/>
    </row>
    <row r="25" spans="2:8" ht="16.149999999999999" customHeight="1">
      <c r="B25" s="716">
        <v>44682</v>
      </c>
      <c r="C25" s="717">
        <f t="shared" si="0"/>
        <v>9925000</v>
      </c>
      <c r="D25" s="717">
        <v>690000</v>
      </c>
      <c r="E25" s="718">
        <v>0.05</v>
      </c>
      <c r="F25" s="717">
        <v>256812.5</v>
      </c>
      <c r="G25" s="719">
        <v>946812.5</v>
      </c>
      <c r="H25" s="719">
        <f>+G25+G24</f>
        <v>1203625</v>
      </c>
    </row>
    <row r="26" spans="2:8" ht="16.149999999999999" customHeight="1">
      <c r="B26" s="716">
        <v>44866</v>
      </c>
      <c r="C26" s="717">
        <f t="shared" si="0"/>
        <v>9235000</v>
      </c>
      <c r="D26" s="717"/>
      <c r="E26" s="730"/>
      <c r="F26" s="717">
        <v>239562.5</v>
      </c>
      <c r="G26" s="719">
        <v>239562.5</v>
      </c>
      <c r="H26" s="719"/>
    </row>
    <row r="27" spans="2:8" ht="16.149999999999999" customHeight="1">
      <c r="B27" s="716">
        <v>45047</v>
      </c>
      <c r="C27" s="717">
        <f t="shared" si="0"/>
        <v>9235000</v>
      </c>
      <c r="D27" s="717">
        <v>725000</v>
      </c>
      <c r="E27" s="718">
        <v>0.05</v>
      </c>
      <c r="F27" s="717">
        <v>239562.5</v>
      </c>
      <c r="G27" s="719">
        <v>964562.5</v>
      </c>
      <c r="H27" s="719">
        <f>+G27+G26</f>
        <v>1204125</v>
      </c>
    </row>
    <row r="28" spans="2:8" ht="16.149999999999999" customHeight="1">
      <c r="B28" s="716">
        <v>45231</v>
      </c>
      <c r="C28" s="717">
        <f t="shared" si="0"/>
        <v>8510000</v>
      </c>
      <c r="D28" s="717"/>
      <c r="E28" s="730"/>
      <c r="F28" s="717">
        <v>221437.5</v>
      </c>
      <c r="G28" s="719">
        <v>221437.5</v>
      </c>
      <c r="H28" s="719"/>
    </row>
    <row r="29" spans="2:8" ht="16.149999999999999" customHeight="1">
      <c r="B29" s="716">
        <v>45413</v>
      </c>
      <c r="C29" s="717">
        <f t="shared" si="0"/>
        <v>8510000</v>
      </c>
      <c r="D29" s="717">
        <v>760000</v>
      </c>
      <c r="E29" s="718">
        <v>0.05</v>
      </c>
      <c r="F29" s="717">
        <v>221437.5</v>
      </c>
      <c r="G29" s="719">
        <v>981437.5</v>
      </c>
      <c r="H29" s="719">
        <f>+G29+G28</f>
        <v>1202875</v>
      </c>
    </row>
    <row r="30" spans="2:8" ht="16.149999999999999" customHeight="1">
      <c r="B30" s="716">
        <v>45597</v>
      </c>
      <c r="C30" s="717">
        <f t="shared" si="0"/>
        <v>7750000</v>
      </c>
      <c r="D30" s="717"/>
      <c r="E30" s="730"/>
      <c r="F30" s="717">
        <v>202437.5</v>
      </c>
      <c r="G30" s="719">
        <v>202437.5</v>
      </c>
      <c r="H30" s="719"/>
    </row>
    <row r="31" spans="2:8" ht="16.149999999999999" customHeight="1">
      <c r="B31" s="716">
        <v>45778</v>
      </c>
      <c r="C31" s="717">
        <f t="shared" si="0"/>
        <v>7750000</v>
      </c>
      <c r="D31" s="717">
        <v>800000</v>
      </c>
      <c r="E31" s="718">
        <v>0.05</v>
      </c>
      <c r="F31" s="717">
        <v>202437.5</v>
      </c>
      <c r="G31" s="719">
        <v>1002437.5</v>
      </c>
      <c r="H31" s="719">
        <f>+G31+G30</f>
        <v>1204875</v>
      </c>
    </row>
    <row r="32" spans="2:8" ht="16.149999999999999" customHeight="1">
      <c r="B32" s="716">
        <v>45962</v>
      </c>
      <c r="C32" s="717">
        <f t="shared" si="0"/>
        <v>6950000</v>
      </c>
      <c r="D32" s="717"/>
      <c r="E32" s="730"/>
      <c r="F32" s="717">
        <v>182437.5</v>
      </c>
      <c r="G32" s="719">
        <v>182437.5</v>
      </c>
      <c r="H32" s="719"/>
    </row>
    <row r="33" spans="2:8" ht="16.149999999999999" customHeight="1">
      <c r="B33" s="716">
        <v>46143</v>
      </c>
      <c r="C33" s="717">
        <f t="shared" si="0"/>
        <v>6950000</v>
      </c>
      <c r="D33" s="717">
        <v>845000</v>
      </c>
      <c r="E33" s="718">
        <v>5.2499999999999998E-2</v>
      </c>
      <c r="F33" s="717">
        <v>182437.5</v>
      </c>
      <c r="G33" s="719">
        <v>1027437.5</v>
      </c>
      <c r="H33" s="719">
        <f>+G33+G32</f>
        <v>1209875</v>
      </c>
    </row>
    <row r="34" spans="2:8" ht="16.149999999999999" customHeight="1">
      <c r="B34" s="716">
        <v>46327</v>
      </c>
      <c r="C34" s="717">
        <f t="shared" si="0"/>
        <v>6105000</v>
      </c>
      <c r="D34" s="717"/>
      <c r="E34" s="730"/>
      <c r="F34" s="717">
        <v>160256.25</v>
      </c>
      <c r="G34" s="719">
        <v>160256.25</v>
      </c>
      <c r="H34" s="719"/>
    </row>
    <row r="35" spans="2:8" ht="16.149999999999999" customHeight="1">
      <c r="B35" s="716">
        <v>46508</v>
      </c>
      <c r="C35" s="717">
        <f t="shared" si="0"/>
        <v>6105000</v>
      </c>
      <c r="D35" s="717">
        <v>890000</v>
      </c>
      <c r="E35" s="718">
        <v>5.2499999999999998E-2</v>
      </c>
      <c r="F35" s="717">
        <v>160256.25</v>
      </c>
      <c r="G35" s="719">
        <v>1050256.25</v>
      </c>
      <c r="H35" s="719">
        <f>+G35+G34</f>
        <v>1210512.5</v>
      </c>
    </row>
    <row r="36" spans="2:8" ht="16.149999999999999" customHeight="1">
      <c r="B36" s="716">
        <v>46692</v>
      </c>
      <c r="C36" s="717">
        <f t="shared" si="0"/>
        <v>5215000</v>
      </c>
      <c r="D36" s="717"/>
      <c r="E36" s="730"/>
      <c r="F36" s="717">
        <v>136893.75</v>
      </c>
      <c r="G36" s="719">
        <v>136893.75</v>
      </c>
      <c r="H36" s="719"/>
    </row>
    <row r="37" spans="2:8" ht="16.149999999999999" customHeight="1">
      <c r="B37" s="716">
        <v>46874</v>
      </c>
      <c r="C37" s="717">
        <f t="shared" si="0"/>
        <v>5215000</v>
      </c>
      <c r="D37" s="717">
        <v>935000</v>
      </c>
      <c r="E37" s="718">
        <v>5.2499999999999998E-2</v>
      </c>
      <c r="F37" s="717">
        <v>136893.75</v>
      </c>
      <c r="G37" s="719">
        <v>1071893.75</v>
      </c>
      <c r="H37" s="719">
        <f>+G37+G36</f>
        <v>1208787.5</v>
      </c>
    </row>
    <row r="38" spans="2:8" ht="16.149999999999999" customHeight="1">
      <c r="B38" s="716">
        <v>47058</v>
      </c>
      <c r="C38" s="717">
        <f t="shared" si="0"/>
        <v>4280000</v>
      </c>
      <c r="D38" s="717"/>
      <c r="E38" s="730"/>
      <c r="F38" s="717">
        <v>112350</v>
      </c>
      <c r="G38" s="719">
        <v>112350</v>
      </c>
      <c r="H38" s="719"/>
    </row>
    <row r="39" spans="2:8" ht="16.149999999999999" customHeight="1">
      <c r="B39" s="716">
        <v>47239</v>
      </c>
      <c r="C39" s="717">
        <f t="shared" si="0"/>
        <v>4280000</v>
      </c>
      <c r="D39" s="717">
        <v>990000</v>
      </c>
      <c r="E39" s="718">
        <v>5.2499999999999998E-2</v>
      </c>
      <c r="F39" s="717">
        <v>112350</v>
      </c>
      <c r="G39" s="719">
        <v>1102350</v>
      </c>
      <c r="H39" s="719">
        <f>+G39+G38</f>
        <v>1214700</v>
      </c>
    </row>
    <row r="40" spans="2:8" ht="16.149999999999999" customHeight="1">
      <c r="B40" s="716">
        <v>47423</v>
      </c>
      <c r="C40" s="717">
        <f t="shared" si="0"/>
        <v>3290000</v>
      </c>
      <c r="D40" s="717"/>
      <c r="E40" s="730"/>
      <c r="F40" s="717">
        <v>86362.5</v>
      </c>
      <c r="G40" s="719">
        <v>86362.5</v>
      </c>
      <c r="H40" s="719"/>
    </row>
    <row r="41" spans="2:8" ht="16.149999999999999" customHeight="1">
      <c r="B41" s="716">
        <v>47604</v>
      </c>
      <c r="C41" s="717">
        <f t="shared" si="0"/>
        <v>3290000</v>
      </c>
      <c r="D41" s="717">
        <v>1040000</v>
      </c>
      <c r="E41" s="718">
        <v>5.2499999999999998E-2</v>
      </c>
      <c r="F41" s="717">
        <v>86362.5</v>
      </c>
      <c r="G41" s="719">
        <v>1126362.5</v>
      </c>
      <c r="H41" s="719">
        <f>+G41+G40</f>
        <v>1212725</v>
      </c>
    </row>
    <row r="42" spans="2:8" ht="16.149999999999999" customHeight="1">
      <c r="B42" s="716">
        <v>47788</v>
      </c>
      <c r="C42" s="717">
        <f t="shared" si="0"/>
        <v>2250000</v>
      </c>
      <c r="D42" s="717"/>
      <c r="E42" s="730"/>
      <c r="F42" s="717">
        <v>59062.5</v>
      </c>
      <c r="G42" s="719">
        <v>59062.5</v>
      </c>
      <c r="H42" s="719"/>
    </row>
    <row r="43" spans="2:8" ht="16.149999999999999" customHeight="1">
      <c r="B43" s="716">
        <v>47969</v>
      </c>
      <c r="C43" s="717">
        <f t="shared" si="0"/>
        <v>2250000</v>
      </c>
      <c r="D43" s="717">
        <v>1095000</v>
      </c>
      <c r="E43" s="718">
        <v>5.2499999999999998E-2</v>
      </c>
      <c r="F43" s="717">
        <v>59062.5</v>
      </c>
      <c r="G43" s="719">
        <v>1154062.5</v>
      </c>
      <c r="H43" s="719">
        <f>+G43+G42</f>
        <v>1213125</v>
      </c>
    </row>
    <row r="44" spans="2:8" ht="16.149999999999999" customHeight="1">
      <c r="B44" s="716">
        <v>48153</v>
      </c>
      <c r="C44" s="717">
        <f t="shared" si="0"/>
        <v>1155000</v>
      </c>
      <c r="D44" s="717"/>
      <c r="E44" s="730"/>
      <c r="F44" s="717">
        <v>30318.75</v>
      </c>
      <c r="G44" s="719">
        <v>30318.75</v>
      </c>
      <c r="H44" s="719"/>
    </row>
    <row r="45" spans="2:8" ht="16.149999999999999" customHeight="1">
      <c r="B45" s="716">
        <v>48335</v>
      </c>
      <c r="C45" s="717">
        <f t="shared" si="0"/>
        <v>1155000</v>
      </c>
      <c r="D45" s="717">
        <v>1155000</v>
      </c>
      <c r="E45" s="718">
        <v>5.2499999999999998E-2</v>
      </c>
      <c r="F45" s="717">
        <v>30318.75</v>
      </c>
      <c r="G45" s="719">
        <v>1185318.75</v>
      </c>
      <c r="H45" s="719">
        <f>+G45+G44</f>
        <v>1215637.5</v>
      </c>
    </row>
    <row r="46" spans="2:8" ht="8.1" customHeight="1">
      <c r="B46" s="731"/>
      <c r="C46" s="731"/>
      <c r="D46" s="732"/>
      <c r="E46" s="733"/>
      <c r="F46" s="732"/>
      <c r="G46" s="734"/>
      <c r="H46" s="734"/>
    </row>
    <row r="47" spans="2:8" ht="16.149999999999999" customHeight="1">
      <c r="B47" s="735"/>
      <c r="C47" s="735"/>
      <c r="D47" s="736">
        <f>SUM(D14:D45)</f>
        <v>12895000</v>
      </c>
      <c r="E47" s="737"/>
      <c r="F47" s="736">
        <f>SUM(F14:F45)</f>
        <v>6404487.5</v>
      </c>
      <c r="G47" s="736">
        <f>SUM(G14:G45)</f>
        <v>19299487.5</v>
      </c>
      <c r="H47" s="736">
        <f>SUM(H14:H45)</f>
        <v>19299487.5</v>
      </c>
    </row>
    <row r="48" spans="2:8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sheetProtection selectLockedCells="1" selectUnlockedCells="1"/>
  <mergeCells count="5">
    <mergeCell ref="A1:H1"/>
    <mergeCell ref="A2:D2"/>
    <mergeCell ref="A3:D3"/>
    <mergeCell ref="B5:H5"/>
    <mergeCell ref="B6:H6"/>
  </mergeCells>
  <printOptions horizontalCentered="1"/>
  <pageMargins left="0.75" right="0.75" top="1.213888888888889" bottom="0.9" header="0.4" footer="0.35"/>
  <pageSetup scale="80" firstPageNumber="0" orientation="portrait" horizontalDpi="300" verticalDpi="300"/>
  <headerFooter alignWithMargins="0">
    <oddHeader>&amp;L&amp;"Arial black,Bold"&amp;15HARMONY
&amp;"Arial,Regular"&amp;14Community Development District&amp;R&amp;"Arial black,Bold"&amp;15 
&amp;"Arial,Italic"&amp;13Series 2014 Debt Service Fund</oddHeader>
    <oddFooter>&amp;LAnnual Operating and Debt Service Budget
Fiscal Year 2017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BG166"/>
  <sheetViews>
    <sheetView topLeftCell="R25" zoomScale="95" zoomScaleNormal="95" zoomScaleSheetLayoutView="95" workbookViewId="0">
      <pane ySplit="9" topLeftCell="A34" activePane="bottomLeft" state="frozen"/>
      <selection activeCell="R25" sqref="R25"/>
      <selection pane="bottomLeft"/>
    </sheetView>
  </sheetViews>
  <sheetFormatPr defaultRowHeight="12.75"/>
  <cols>
    <col min="1" max="4" width="0" style="271" hidden="1" customWidth="1"/>
    <col min="5" max="8" width="0" style="272" hidden="1" customWidth="1"/>
    <col min="9" max="10" width="0" style="271" hidden="1" customWidth="1"/>
    <col min="11" max="11" width="0" style="273" hidden="1" customWidth="1"/>
    <col min="12" max="13" width="0" style="274" hidden="1" customWidth="1"/>
    <col min="14" max="17" width="0" style="271" hidden="1" customWidth="1"/>
    <col min="18" max="18" width="35.7109375" style="271" customWidth="1"/>
    <col min="19" max="20" width="0" style="271" hidden="1" customWidth="1"/>
    <col min="21" max="21" width="0.42578125" style="271" customWidth="1"/>
    <col min="22" max="27" width="0" style="271" hidden="1" customWidth="1"/>
    <col min="28" max="28" width="11.7109375" style="271" customWidth="1"/>
    <col min="29" max="29" width="0.42578125" style="271" customWidth="1"/>
    <col min="30" max="31" width="0" style="271" hidden="1" customWidth="1"/>
    <col min="32" max="32" width="11.7109375" style="271" customWidth="1"/>
    <col min="33" max="33" width="0.42578125" style="271" customWidth="1"/>
    <col min="34" max="34" width="11.7109375" style="271" customWidth="1"/>
    <col min="35" max="35" width="0.42578125" style="271" customWidth="1"/>
    <col min="36" max="36" width="11.7109375" style="271" customWidth="1"/>
    <col min="37" max="37" width="0.42578125" style="271" customWidth="1"/>
    <col min="38" max="38" width="11.7109375" style="271" customWidth="1"/>
    <col min="39" max="39" width="0.42578125" style="271" customWidth="1"/>
    <col min="40" max="41" width="0" style="271" hidden="1" customWidth="1"/>
    <col min="42" max="42" width="11.7109375" style="271" customWidth="1"/>
    <col min="43" max="43" width="0" style="271" hidden="1" customWidth="1"/>
    <col min="44" max="44" width="0.85546875" style="271" customWidth="1"/>
    <col min="45" max="45" width="65.85546875" style="274" customWidth="1"/>
    <col min="46" max="58" width="0" style="271" hidden="1" customWidth="1"/>
    <col min="59" max="59" width="12.85546875" style="271" customWidth="1"/>
    <col min="60" max="16384" width="9.140625" style="271"/>
  </cols>
  <sheetData>
    <row r="1" spans="1:58" s="275" customFormat="1" hidden="1">
      <c r="A1" s="275" t="s">
        <v>553</v>
      </c>
      <c r="B1" s="276" t="s">
        <v>53</v>
      </c>
      <c r="C1" s="275" t="s">
        <v>31</v>
      </c>
      <c r="D1" s="275" t="s">
        <v>31</v>
      </c>
      <c r="E1" s="275" t="s">
        <v>31</v>
      </c>
      <c r="F1" s="275" t="s">
        <v>31</v>
      </c>
      <c r="G1" s="277" t="s">
        <v>234</v>
      </c>
      <c r="H1" s="275" t="s">
        <v>31</v>
      </c>
      <c r="I1" s="275" t="s">
        <v>31</v>
      </c>
      <c r="J1" s="275" t="s">
        <v>31</v>
      </c>
      <c r="K1" s="278" t="s">
        <v>31</v>
      </c>
      <c r="L1" s="275" t="s">
        <v>235</v>
      </c>
      <c r="M1" s="275" t="s">
        <v>235</v>
      </c>
      <c r="N1" s="275" t="s">
        <v>235</v>
      </c>
      <c r="O1" s="275" t="s">
        <v>235</v>
      </c>
      <c r="P1" s="275" t="str">
        <f>IF($F$9="no","Hide","Show")</f>
        <v>Hide</v>
      </c>
      <c r="Q1" s="275" t="str">
        <f>P1</f>
        <v>Hide</v>
      </c>
      <c r="R1" s="275" t="s">
        <v>62</v>
      </c>
      <c r="S1" s="275" t="s">
        <v>31</v>
      </c>
      <c r="T1" s="275" t="s">
        <v>31</v>
      </c>
      <c r="V1" s="275" t="str">
        <f>IF($F$7=4,"Show","Hide")</f>
        <v>Hide</v>
      </c>
      <c r="W1" s="275" t="str">
        <f>V1</f>
        <v>Hide</v>
      </c>
      <c r="X1" s="275" t="str">
        <f>IF($F$7&gt;=3,"Show","Hide")</f>
        <v>Hide</v>
      </c>
      <c r="Y1" s="275" t="str">
        <f>X1</f>
        <v>Hide</v>
      </c>
      <c r="Z1" s="275" t="str">
        <f>IF($F$7&gt;=2,"Show","Hide")</f>
        <v>Hide</v>
      </c>
      <c r="AA1" s="275" t="str">
        <f>Z1</f>
        <v>Hide</v>
      </c>
      <c r="AB1" s="275" t="str">
        <f>IF($F$7&gt;=1,"Show","Hide")</f>
        <v>Show</v>
      </c>
      <c r="AC1" s="275" t="str">
        <f>AB1</f>
        <v>Show</v>
      </c>
      <c r="AD1" s="275" t="str">
        <f>IF($F$8&gt;=2,"Show","Hide")</f>
        <v>Hide</v>
      </c>
      <c r="AE1" s="275" t="str">
        <f>AD1</f>
        <v>Hide</v>
      </c>
      <c r="AF1" s="275" t="str">
        <f>IF($F$8&gt;=1,"Show","Hide")</f>
        <v>Show</v>
      </c>
      <c r="AG1" s="275" t="str">
        <f>AF1</f>
        <v>Show</v>
      </c>
      <c r="AH1" s="275" t="str">
        <f>IF($F$9="no","Show","hide")</f>
        <v>Show</v>
      </c>
      <c r="AI1" s="275" t="str">
        <f>AH1</f>
        <v>Show</v>
      </c>
      <c r="AJ1" s="279" t="str">
        <f>"Data+"&amp;AH1</f>
        <v>Data+Show</v>
      </c>
      <c r="AK1" s="279" t="str">
        <f>AH1</f>
        <v>Show</v>
      </c>
      <c r="AL1" s="275" t="s">
        <v>62</v>
      </c>
      <c r="AM1" s="275" t="str">
        <f>AL1</f>
        <v>Show</v>
      </c>
      <c r="AN1" s="275" t="s">
        <v>31</v>
      </c>
      <c r="AO1" s="275" t="s">
        <v>31</v>
      </c>
      <c r="AP1" s="275" t="s">
        <v>236</v>
      </c>
      <c r="AQ1" s="275" t="s">
        <v>31</v>
      </c>
      <c r="AS1" s="275" t="s">
        <v>236</v>
      </c>
      <c r="AT1" s="275" t="s">
        <v>237</v>
      </c>
      <c r="AU1" s="275" t="s">
        <v>237</v>
      </c>
      <c r="AV1" s="275" t="s">
        <v>237</v>
      </c>
      <c r="AW1" s="275" t="s">
        <v>237</v>
      </c>
      <c r="AX1" s="275" t="s">
        <v>237</v>
      </c>
      <c r="AY1" s="275" t="s">
        <v>237</v>
      </c>
      <c r="AZ1" s="275" t="s">
        <v>237</v>
      </c>
      <c r="BA1" s="275" t="s">
        <v>237</v>
      </c>
      <c r="BB1" s="275" t="s">
        <v>237</v>
      </c>
      <c r="BC1" s="275" t="s">
        <v>237</v>
      </c>
      <c r="BD1" s="275" t="s">
        <v>237</v>
      </c>
      <c r="BE1" s="275" t="s">
        <v>237</v>
      </c>
      <c r="BF1" s="275" t="s">
        <v>237</v>
      </c>
    </row>
    <row r="2" spans="1:58" s="274" customFormat="1" ht="12" hidden="1">
      <c r="A2" s="281"/>
      <c r="B2" s="274" t="str">
        <f ca="1">IF(AQ137=0,"hidesheet","Hide")</f>
        <v>Hide</v>
      </c>
      <c r="C2" s="282" t="s">
        <v>135</v>
      </c>
      <c r="D2" s="282"/>
      <c r="E2" s="272"/>
      <c r="F2" s="272"/>
      <c r="G2" s="272"/>
      <c r="H2" s="283"/>
      <c r="I2" s="275"/>
      <c r="J2" s="275"/>
      <c r="K2" s="273"/>
      <c r="T2" s="274" t="str">
        <f>TEXT("..C"&amp;$F$5,"MM/DD/YYYY")</f>
        <v>..C02/29/2016</v>
      </c>
      <c r="V2" s="274" t="str">
        <f>I9</f>
        <v>..C9/30/2012</v>
      </c>
      <c r="X2" s="274" t="str">
        <f>I8</f>
        <v>..C9/30/2013</v>
      </c>
      <c r="Z2" s="274" t="str">
        <f>I7</f>
        <v>..C9/30/2014</v>
      </c>
      <c r="AB2" s="274" t="str">
        <f>I6</f>
        <v>..C9/30/2015</v>
      </c>
      <c r="AD2" s="274" t="str">
        <f>AB2</f>
        <v>..C9/30/2015</v>
      </c>
      <c r="AF2" s="274" t="str">
        <f>I5</f>
        <v>..C9/30/2016</v>
      </c>
      <c r="AH2" s="274" t="str">
        <f>TEXT("..C"&amp;$F$5,"MM/DD/YYYY")</f>
        <v>..C02/29/2016</v>
      </c>
      <c r="AJ2" s="274" t="str">
        <f>AH2</f>
        <v>..C02/29/2016</v>
      </c>
      <c r="AP2" s="275"/>
    </row>
    <row r="3" spans="1:58" s="274" customFormat="1" ht="12" hidden="1">
      <c r="B3" s="274" t="s">
        <v>31</v>
      </c>
      <c r="C3" s="282" t="s">
        <v>136</v>
      </c>
      <c r="D3" s="282"/>
      <c r="E3" s="272"/>
      <c r="F3" s="272"/>
      <c r="G3" s="272"/>
      <c r="H3" s="284" t="s">
        <v>238</v>
      </c>
      <c r="I3" s="285" t="s">
        <v>239</v>
      </c>
      <c r="J3" s="285" t="s">
        <v>240</v>
      </c>
      <c r="K3" s="273"/>
      <c r="T3" s="274" t="str">
        <f>$J$4</f>
        <v>10/1/2015..02/29/2016</v>
      </c>
      <c r="V3" s="274" t="s">
        <v>241</v>
      </c>
      <c r="X3" s="274" t="s">
        <v>242</v>
      </c>
      <c r="Z3" s="274" t="s">
        <v>243</v>
      </c>
      <c r="AB3" s="274" t="s">
        <v>244</v>
      </c>
      <c r="AD3" s="274" t="s">
        <v>244</v>
      </c>
      <c r="AF3" s="274" t="s">
        <v>245</v>
      </c>
      <c r="AH3" s="274" t="str">
        <f>$J$4</f>
        <v>10/1/2015..02/29/2016</v>
      </c>
      <c r="AJ3" s="274" t="s">
        <v>246</v>
      </c>
      <c r="AN3" s="275" t="s">
        <v>247</v>
      </c>
      <c r="AO3" s="275"/>
      <c r="AP3" s="275" t="s">
        <v>247</v>
      </c>
    </row>
    <row r="4" spans="1:58" s="274" customFormat="1" ht="15" hidden="1" customHeight="1">
      <c r="B4" s="274" t="s">
        <v>31</v>
      </c>
      <c r="E4" s="272" t="s">
        <v>248</v>
      </c>
      <c r="F4" s="286" t="s">
        <v>249</v>
      </c>
      <c r="G4" s="283"/>
      <c r="H4" s="283" t="str">
        <f>F4</f>
        <v>2017</v>
      </c>
      <c r="I4" s="274" t="str">
        <f t="shared" ref="I4:I10" si="0">"..C9/30/"&amp;H4</f>
        <v>..C9/30/2017</v>
      </c>
      <c r="J4" s="274" t="str">
        <f>"10/1/"&amp;H6&amp;".."&amp;F5</f>
        <v>10/1/2015..02/29/2016</v>
      </c>
      <c r="K4" s="273"/>
      <c r="T4" s="275" t="s">
        <v>251</v>
      </c>
      <c r="V4" s="275" t="s">
        <v>251</v>
      </c>
      <c r="W4" s="288"/>
      <c r="X4" s="275" t="s">
        <v>251</v>
      </c>
      <c r="Y4" s="288"/>
      <c r="Z4" s="275" t="s">
        <v>251</v>
      </c>
      <c r="AA4" s="288"/>
      <c r="AB4" s="275" t="s">
        <v>251</v>
      </c>
      <c r="AC4" s="288"/>
      <c r="AD4" s="275" t="s">
        <v>252</v>
      </c>
      <c r="AE4" s="288"/>
      <c r="AF4" s="275" t="s">
        <v>252</v>
      </c>
      <c r="AG4" s="275"/>
      <c r="AH4" s="275" t="s">
        <v>251</v>
      </c>
      <c r="AI4" s="275"/>
      <c r="AJ4" s="275" t="s">
        <v>252</v>
      </c>
      <c r="AK4" s="275"/>
      <c r="AL4" s="275" t="s">
        <v>252</v>
      </c>
      <c r="AM4" s="275"/>
      <c r="AN4" s="275" t="s">
        <v>252</v>
      </c>
      <c r="AO4" s="275"/>
      <c r="AP4" s="275" t="s">
        <v>252</v>
      </c>
      <c r="AQ4" s="275"/>
      <c r="AR4" s="288"/>
      <c r="AS4" s="288"/>
    </row>
    <row r="5" spans="1:58" s="274" customFormat="1" ht="15" hidden="1" customHeight="1">
      <c r="B5" s="274" t="s">
        <v>31</v>
      </c>
      <c r="C5" s="274" t="s">
        <v>253</v>
      </c>
      <c r="D5" s="274" t="s">
        <v>74</v>
      </c>
      <c r="E5" s="272" t="s">
        <v>87</v>
      </c>
      <c r="F5" s="512" t="s">
        <v>481</v>
      </c>
      <c r="G5" s="513"/>
      <c r="H5" s="283">
        <f t="shared" ref="H5:H10" si="1">H4-1</f>
        <v>2016</v>
      </c>
      <c r="I5" s="274" t="str">
        <f t="shared" si="0"/>
        <v>..C9/30/2016</v>
      </c>
      <c r="J5" s="274" t="s">
        <v>254</v>
      </c>
      <c r="K5" s="273"/>
      <c r="O5" s="288"/>
      <c r="P5" s="288"/>
      <c r="Q5" s="288"/>
      <c r="R5" s="288"/>
      <c r="S5" s="288"/>
      <c r="T5" s="275" t="str">
        <f>AF5</f>
        <v>..C9/30/2015</v>
      </c>
      <c r="U5" s="288"/>
      <c r="V5" s="275" t="str">
        <f>I10</f>
        <v>..C9/30/2011</v>
      </c>
      <c r="W5" s="275"/>
      <c r="X5" s="275" t="str">
        <f>V2</f>
        <v>..C9/30/2012</v>
      </c>
      <c r="Y5" s="275"/>
      <c r="Z5" s="275" t="str">
        <f>X2</f>
        <v>..C9/30/2013</v>
      </c>
      <c r="AA5" s="275"/>
      <c r="AB5" s="275" t="str">
        <f>Z2</f>
        <v>..C9/30/2014</v>
      </c>
      <c r="AC5" s="275"/>
      <c r="AD5" s="275" t="str">
        <f>AB5</f>
        <v>..C9/30/2014</v>
      </c>
      <c r="AE5" s="275"/>
      <c r="AF5" s="275" t="str">
        <f>AD2</f>
        <v>..C9/30/2015</v>
      </c>
      <c r="AG5" s="292"/>
      <c r="AH5" s="275" t="str">
        <f>AF5</f>
        <v>..C9/30/2015</v>
      </c>
      <c r="AI5" s="288"/>
      <c r="AJ5" s="275" t="e">
        <f>I11</f>
        <v>#VALUE!</v>
      </c>
      <c r="AK5" s="288"/>
      <c r="AL5" s="288"/>
      <c r="AM5" s="288"/>
      <c r="AN5" s="275" t="str">
        <f>$I$4</f>
        <v>..C9/30/2017</v>
      </c>
      <c r="AO5" s="275"/>
      <c r="AP5" s="275" t="str">
        <f>$I$4</f>
        <v>..C9/30/2017</v>
      </c>
      <c r="AQ5" s="288"/>
      <c r="AR5" s="288"/>
      <c r="AS5" s="288"/>
    </row>
    <row r="6" spans="1:58" s="274" customFormat="1" ht="12" hidden="1">
      <c r="B6" s="274" t="s">
        <v>31</v>
      </c>
      <c r="C6" s="274" t="s">
        <v>255</v>
      </c>
      <c r="D6" s="274" t="s">
        <v>57</v>
      </c>
      <c r="E6" s="272" t="s">
        <v>256</v>
      </c>
      <c r="F6" s="286" t="s">
        <v>92</v>
      </c>
      <c r="G6" s="283"/>
      <c r="H6" s="283">
        <f t="shared" si="1"/>
        <v>2015</v>
      </c>
      <c r="I6" s="274" t="str">
        <f t="shared" si="0"/>
        <v>..C9/30/2015</v>
      </c>
      <c r="J6" s="274" t="s">
        <v>257</v>
      </c>
      <c r="K6" s="273"/>
      <c r="O6" s="288"/>
      <c r="P6" s="288"/>
      <c r="Q6" s="288"/>
      <c r="R6" s="288"/>
      <c r="S6" s="288"/>
      <c r="T6" s="288"/>
      <c r="U6" s="288"/>
      <c r="V6" s="275"/>
      <c r="X6" s="275"/>
      <c r="Z6" s="275"/>
      <c r="AB6" s="275"/>
      <c r="AD6" s="275" t="s">
        <v>99</v>
      </c>
      <c r="AF6" s="275" t="s">
        <v>99</v>
      </c>
      <c r="AH6" s="275"/>
      <c r="AJ6" s="275" t="s">
        <v>99</v>
      </c>
      <c r="AL6" s="275"/>
      <c r="AN6" s="275" t="s">
        <v>99</v>
      </c>
      <c r="AO6" s="275"/>
      <c r="AP6" s="275" t="s">
        <v>99</v>
      </c>
    </row>
    <row r="7" spans="1:58" s="274" customFormat="1" ht="12" hidden="1">
      <c r="B7" s="274" t="s">
        <v>31</v>
      </c>
      <c r="C7" s="274" t="s">
        <v>65</v>
      </c>
      <c r="D7" s="274" t="s">
        <v>60</v>
      </c>
      <c r="E7" s="272" t="s">
        <v>258</v>
      </c>
      <c r="F7" s="294">
        <v>1</v>
      </c>
      <c r="G7" s="283"/>
      <c r="H7" s="283">
        <f t="shared" si="1"/>
        <v>2014</v>
      </c>
      <c r="I7" s="274" t="str">
        <f t="shared" si="0"/>
        <v>..C9/30/2014</v>
      </c>
      <c r="J7" s="274" t="s">
        <v>247</v>
      </c>
      <c r="K7" s="273"/>
      <c r="V7" s="275"/>
      <c r="X7" s="275"/>
      <c r="Z7" s="275"/>
      <c r="AB7" s="275"/>
      <c r="AD7" s="275" t="s">
        <v>260</v>
      </c>
      <c r="AF7" s="275" t="s">
        <v>260</v>
      </c>
      <c r="AH7" s="275"/>
      <c r="AN7" s="275" t="s">
        <v>260</v>
      </c>
      <c r="AO7" s="275"/>
      <c r="AP7" s="275" t="s">
        <v>260</v>
      </c>
    </row>
    <row r="8" spans="1:58" s="274" customFormat="1" ht="12" hidden="1">
      <c r="B8" s="274" t="s">
        <v>31</v>
      </c>
      <c r="C8" s="274" t="s">
        <v>261</v>
      </c>
      <c r="D8" s="274" t="s">
        <v>99</v>
      </c>
      <c r="E8" s="272" t="s">
        <v>262</v>
      </c>
      <c r="F8" s="294">
        <v>1</v>
      </c>
      <c r="G8" s="283"/>
      <c r="H8" s="283">
        <f t="shared" si="1"/>
        <v>2013</v>
      </c>
      <c r="I8" s="274" t="str">
        <f t="shared" si="0"/>
        <v>..C9/30/2013</v>
      </c>
      <c r="K8" s="273"/>
      <c r="P8" s="296"/>
      <c r="Q8" s="296"/>
      <c r="V8" s="275"/>
      <c r="X8" s="275"/>
      <c r="Z8" s="275"/>
      <c r="AB8" s="275"/>
      <c r="AD8" s="275" t="str">
        <f>RIGHT(AD2,4)&amp;"BUDA"</f>
        <v>2015BUDA</v>
      </c>
      <c r="AF8" s="275" t="str">
        <f>RIGHT(AF2,4)&amp;"BUDA"</f>
        <v>2016BUDA</v>
      </c>
      <c r="AH8" s="275"/>
    </row>
    <row r="9" spans="1:58" s="274" customFormat="1" ht="12" hidden="1">
      <c r="B9" s="274" t="s">
        <v>31</v>
      </c>
      <c r="C9" s="274" t="s">
        <v>263</v>
      </c>
      <c r="D9" s="274" t="s">
        <v>59</v>
      </c>
      <c r="E9" s="272" t="s">
        <v>264</v>
      </c>
      <c r="F9" s="286" t="s">
        <v>92</v>
      </c>
      <c r="G9" s="283"/>
      <c r="H9" s="283">
        <f t="shared" si="1"/>
        <v>2012</v>
      </c>
      <c r="I9" s="274" t="str">
        <f t="shared" si="0"/>
        <v>..C9/30/2012</v>
      </c>
      <c r="K9" s="273"/>
      <c r="P9" s="296"/>
      <c r="Q9" s="296"/>
    </row>
    <row r="10" spans="1:58" s="274" customFormat="1" hidden="1">
      <c r="B10" s="274" t="s">
        <v>31</v>
      </c>
      <c r="C10" s="34" t="s">
        <v>265</v>
      </c>
      <c r="D10" s="274" t="s">
        <v>135</v>
      </c>
      <c r="E10" s="272" t="s">
        <v>266</v>
      </c>
      <c r="F10" s="286" t="s">
        <v>92</v>
      </c>
      <c r="G10" s="283"/>
      <c r="H10" s="283">
        <f t="shared" si="1"/>
        <v>2011</v>
      </c>
      <c r="I10" s="274" t="str">
        <f t="shared" si="0"/>
        <v>..C9/30/2011</v>
      </c>
      <c r="K10" s="273"/>
      <c r="P10" s="296"/>
      <c r="Q10" s="296"/>
    </row>
    <row r="11" spans="1:58" s="274" customFormat="1" hidden="1">
      <c r="B11" s="274" t="s">
        <v>31</v>
      </c>
      <c r="C11" s="34" t="s">
        <v>267</v>
      </c>
      <c r="D11" s="274" t="s">
        <v>136</v>
      </c>
      <c r="E11" s="272" t="s">
        <v>268</v>
      </c>
      <c r="F11" s="286" t="s">
        <v>91</v>
      </c>
      <c r="G11" s="283"/>
      <c r="H11" s="283" t="e">
        <f>RIGHT(I11,4)</f>
        <v>#VALUE!</v>
      </c>
      <c r="I11" s="274" t="e">
        <f>"..C9/30/"&amp;IF(MONTH(F5)&lt;10,YEAR(F5),YEAR(F5)+1)</f>
        <v>#VALUE!</v>
      </c>
      <c r="K11" s="273"/>
      <c r="P11" s="296"/>
      <c r="Q11" s="296"/>
    </row>
    <row r="12" spans="1:58" s="274" customFormat="1" ht="13.5" hidden="1">
      <c r="B12" s="274" t="s">
        <v>31</v>
      </c>
      <c r="E12" s="272" t="s">
        <v>269</v>
      </c>
      <c r="F12" s="286" t="s">
        <v>99</v>
      </c>
      <c r="G12" s="283"/>
      <c r="H12" s="283"/>
      <c r="J12" s="297" t="s">
        <v>106</v>
      </c>
      <c r="K12" s="273"/>
      <c r="P12" s="296"/>
      <c r="Q12" s="296"/>
    </row>
    <row r="13" spans="1:58" s="274" customFormat="1" ht="13.5" hidden="1">
      <c r="B13" s="274" t="s">
        <v>31</v>
      </c>
      <c r="E13" s="272" t="s">
        <v>270</v>
      </c>
      <c r="F13" s="286" t="s">
        <v>91</v>
      </c>
      <c r="G13" s="283"/>
      <c r="H13" s="283"/>
      <c r="J13" s="298" t="s">
        <v>271</v>
      </c>
      <c r="K13" s="273"/>
      <c r="P13" s="296"/>
      <c r="Q13" s="296"/>
    </row>
    <row r="14" spans="1:58" s="274" customFormat="1" ht="12" hidden="1">
      <c r="B14" s="274" t="s">
        <v>31</v>
      </c>
      <c r="E14" s="272" t="s">
        <v>97</v>
      </c>
      <c r="F14" s="286" t="s">
        <v>92</v>
      </c>
      <c r="G14" s="283"/>
      <c r="H14" s="283"/>
      <c r="K14" s="273"/>
      <c r="P14" s="296"/>
      <c r="Q14" s="296"/>
    </row>
    <row r="15" spans="1:58" s="274" customFormat="1" ht="12" hidden="1">
      <c r="B15" s="274" t="s">
        <v>31</v>
      </c>
      <c r="E15" s="272" t="s">
        <v>272</v>
      </c>
      <c r="F15" s="286" t="s">
        <v>92</v>
      </c>
      <c r="G15" s="283"/>
      <c r="H15" s="283"/>
      <c r="K15" s="273"/>
      <c r="P15" s="296"/>
      <c r="Q15" s="296"/>
    </row>
    <row r="16" spans="1:58" s="274" customFormat="1" ht="12" hidden="1">
      <c r="B16" s="274" t="s">
        <v>31</v>
      </c>
      <c r="E16" s="272" t="s">
        <v>102</v>
      </c>
      <c r="F16" s="286" t="s">
        <v>92</v>
      </c>
      <c r="G16" s="283"/>
      <c r="H16" s="283"/>
      <c r="K16" s="273"/>
      <c r="P16" s="296"/>
      <c r="Q16" s="296"/>
    </row>
    <row r="17" spans="1:45" s="274" customFormat="1" ht="12" hidden="1">
      <c r="B17" s="274" t="s">
        <v>31</v>
      </c>
      <c r="E17" s="272" t="s">
        <v>65</v>
      </c>
      <c r="F17" s="300" t="str">
        <f>"204"</f>
        <v>204</v>
      </c>
      <c r="G17" s="272"/>
      <c r="H17" s="272"/>
      <c r="K17" s="273"/>
      <c r="P17" s="296"/>
      <c r="Q17" s="296"/>
    </row>
    <row r="18" spans="1:45" s="274" customFormat="1" ht="12" hidden="1">
      <c r="B18" s="274" t="s">
        <v>31</v>
      </c>
      <c r="E18" s="272"/>
      <c r="F18" s="272"/>
      <c r="G18" s="272"/>
      <c r="H18" s="272"/>
      <c r="K18" s="273"/>
      <c r="P18" s="296"/>
      <c r="Q18" s="296"/>
    </row>
    <row r="19" spans="1:45" s="274" customFormat="1" ht="12" hidden="1">
      <c r="B19" s="274" t="s">
        <v>31</v>
      </c>
      <c r="E19" s="301" t="s">
        <v>273</v>
      </c>
      <c r="F19" s="272"/>
      <c r="G19" s="272"/>
      <c r="H19" s="302" t="s">
        <v>274</v>
      </c>
      <c r="K19" s="273"/>
      <c r="O19" s="296"/>
      <c r="P19" s="296"/>
      <c r="Q19" s="296"/>
    </row>
    <row r="20" spans="1:45" s="274" customFormat="1" ht="12" hidden="1">
      <c r="B20" s="274" t="s">
        <v>31</v>
      </c>
      <c r="E20" s="272" t="s">
        <v>275</v>
      </c>
      <c r="F20" s="272"/>
      <c r="G20" s="272"/>
      <c r="H20" s="272" t="s">
        <v>554</v>
      </c>
      <c r="K20" s="273"/>
      <c r="O20" s="296"/>
      <c r="P20" s="296"/>
      <c r="Q20" s="296"/>
    </row>
    <row r="21" spans="1:45" s="274" customFormat="1" ht="12" hidden="1">
      <c r="B21" s="274" t="s">
        <v>31</v>
      </c>
      <c r="E21" s="272" t="s">
        <v>276</v>
      </c>
      <c r="F21" s="272"/>
      <c r="G21" s="272"/>
      <c r="H21" s="272" t="s">
        <v>78</v>
      </c>
      <c r="K21" s="273"/>
      <c r="O21" s="296"/>
      <c r="P21" s="296"/>
      <c r="Q21" s="296"/>
    </row>
    <row r="22" spans="1:45" s="274" customFormat="1" ht="12" hidden="1">
      <c r="B22" s="274" t="s">
        <v>31</v>
      </c>
      <c r="E22" s="272" t="s">
        <v>65</v>
      </c>
      <c r="F22" s="275" t="str">
        <f>IF(F17="",0,F17)</f>
        <v>204</v>
      </c>
      <c r="G22" s="272"/>
      <c r="H22" s="303" t="str">
        <f>IF(F12="*",H20,H21)</f>
        <v>2015 Debt Service Fund</v>
      </c>
      <c r="K22" s="273"/>
      <c r="O22" s="296"/>
      <c r="P22" s="296"/>
      <c r="Q22" s="296"/>
    </row>
    <row r="23" spans="1:45" s="274" customFormat="1" ht="12" hidden="1">
      <c r="B23" s="274" t="s">
        <v>31</v>
      </c>
      <c r="E23" s="272" t="s">
        <v>277</v>
      </c>
      <c r="F23" s="272"/>
      <c r="G23" s="272"/>
      <c r="H23" s="272"/>
      <c r="K23" s="273"/>
      <c r="AS23" s="514"/>
    </row>
    <row r="24" spans="1:45" s="274" customFormat="1" hidden="1">
      <c r="A24" s="274" t="s">
        <v>235</v>
      </c>
      <c r="B24" s="274" t="s">
        <v>31</v>
      </c>
      <c r="E24" s="272" t="s">
        <v>278</v>
      </c>
      <c r="F24" s="272"/>
      <c r="G24" s="277" t="s">
        <v>279</v>
      </c>
      <c r="H24" s="272"/>
      <c r="K24" s="273"/>
      <c r="T24" s="275"/>
      <c r="AJ24" s="277" t="s">
        <v>280</v>
      </c>
      <c r="AP24" s="277" t="s">
        <v>281</v>
      </c>
      <c r="AS24" s="277" t="s">
        <v>282</v>
      </c>
    </row>
    <row r="25" spans="1:45" s="274" customFormat="1" ht="15.75">
      <c r="B25" s="274" t="s">
        <v>62</v>
      </c>
      <c r="E25" s="272"/>
      <c r="F25" s="272"/>
      <c r="G25" s="277"/>
      <c r="H25" s="272"/>
      <c r="K25" s="273"/>
      <c r="O25" s="305" t="s">
        <v>283</v>
      </c>
      <c r="P25" s="683"/>
      <c r="Q25" s="307"/>
      <c r="R25" s="1418" t="str">
        <f>IF(ISERROR(IF(AND(VALUE($F$22)&gt;399,VALUE($F$22)&lt;500),$J$13,$J$12)),"",IF(AND(VALUE($F$22)&gt;399,VALUE($F$22)&lt;500),$J$13,$J$12))</f>
        <v>Summary of Revenues, Expenditures and Changes in Fund Balances</v>
      </c>
      <c r="S25" s="1418"/>
      <c r="T25" s="1418"/>
      <c r="U25" s="1418"/>
      <c r="V25" s="1418"/>
      <c r="W25" s="1418"/>
      <c r="X25" s="1418"/>
      <c r="Y25" s="1418"/>
      <c r="Z25" s="1418"/>
      <c r="AA25" s="1418"/>
      <c r="AB25" s="1418"/>
      <c r="AC25" s="1418"/>
      <c r="AD25" s="1418"/>
      <c r="AE25" s="1418"/>
      <c r="AF25" s="1418"/>
      <c r="AG25" s="1418"/>
      <c r="AH25" s="1418"/>
      <c r="AI25" s="1418"/>
      <c r="AJ25" s="1418"/>
      <c r="AK25" s="1418"/>
      <c r="AL25" s="1418"/>
      <c r="AM25" s="1418"/>
      <c r="AN25" s="1418"/>
      <c r="AO25" s="1418"/>
      <c r="AP25" s="1418"/>
      <c r="AQ25" s="306"/>
      <c r="AR25" s="306"/>
      <c r="AS25" s="738"/>
    </row>
    <row r="26" spans="1:45" s="274" customFormat="1" ht="15.75">
      <c r="E26" s="272"/>
      <c r="F26" s="272"/>
      <c r="G26" s="277"/>
      <c r="H26" s="272"/>
      <c r="K26" s="273"/>
      <c r="O26" s="305" t="s">
        <v>284</v>
      </c>
      <c r="P26" s="309"/>
      <c r="Q26" s="310"/>
      <c r="R26" s="1419" t="str">
        <f>H22</f>
        <v>2015 Debt Service Fund</v>
      </c>
      <c r="S26" s="1419"/>
      <c r="T26" s="1419"/>
      <c r="U26" s="1419"/>
      <c r="V26" s="1419"/>
      <c r="W26" s="1419"/>
      <c r="X26" s="1419"/>
      <c r="Y26" s="1419"/>
      <c r="Z26" s="1419"/>
      <c r="AA26" s="1419"/>
      <c r="AB26" s="1419"/>
      <c r="AC26" s="1419"/>
      <c r="AD26" s="1419"/>
      <c r="AE26" s="1419"/>
      <c r="AF26" s="1419"/>
      <c r="AG26" s="1419"/>
      <c r="AH26" s="1419"/>
      <c r="AI26" s="1419"/>
      <c r="AJ26" s="1419"/>
      <c r="AK26" s="1419"/>
      <c r="AL26" s="1419"/>
      <c r="AM26" s="1419"/>
      <c r="AN26" s="1419"/>
      <c r="AO26" s="1419"/>
      <c r="AP26" s="1419"/>
      <c r="AQ26" s="306"/>
      <c r="AR26" s="306"/>
      <c r="AS26" s="738"/>
    </row>
    <row r="27" spans="1:45" s="274" customFormat="1" ht="15.75">
      <c r="B27" s="274" t="s">
        <v>62</v>
      </c>
      <c r="E27" s="272"/>
      <c r="F27" s="272"/>
      <c r="G27" s="277"/>
      <c r="H27" s="272"/>
      <c r="K27" s="273"/>
      <c r="O27" s="305" t="s">
        <v>285</v>
      </c>
      <c r="P27" s="309"/>
      <c r="Q27" s="310"/>
      <c r="R27" s="1419" t="str">
        <f>"Fiscal Year "&amp;F4&amp;" Proposed Budget"</f>
        <v>Fiscal Year 2017 Proposed Budget</v>
      </c>
      <c r="S27" s="1419"/>
      <c r="T27" s="1419"/>
      <c r="U27" s="1419"/>
      <c r="V27" s="1419"/>
      <c r="W27" s="1419"/>
      <c r="X27" s="1419"/>
      <c r="Y27" s="1419"/>
      <c r="Z27" s="1419"/>
      <c r="AA27" s="1419"/>
      <c r="AB27" s="1419"/>
      <c r="AC27" s="1419"/>
      <c r="AD27" s="1419"/>
      <c r="AE27" s="1419"/>
      <c r="AF27" s="1419"/>
      <c r="AG27" s="1419"/>
      <c r="AH27" s="1419"/>
      <c r="AI27" s="1419"/>
      <c r="AJ27" s="1419"/>
      <c r="AK27" s="1419"/>
      <c r="AL27" s="1419"/>
      <c r="AM27" s="1419"/>
      <c r="AN27" s="1419"/>
      <c r="AO27" s="1419"/>
      <c r="AP27" s="1419"/>
      <c r="AQ27" s="306"/>
      <c r="AR27" s="306"/>
      <c r="AS27" s="739"/>
    </row>
    <row r="28" spans="1:45" ht="7.5" hidden="1" customHeight="1">
      <c r="E28" s="271"/>
      <c r="F28" s="271"/>
      <c r="G28" s="277"/>
      <c r="H28" s="271"/>
      <c r="K28" s="437"/>
      <c r="L28" s="271"/>
      <c r="M28" s="271"/>
      <c r="P28" s="684"/>
      <c r="Q28" s="684"/>
      <c r="R28" s="684"/>
      <c r="S28" s="684"/>
      <c r="T28" s="684"/>
      <c r="U28" s="684"/>
      <c r="V28" s="684"/>
      <c r="W28" s="684"/>
      <c r="X28" s="684"/>
      <c r="Y28" s="684"/>
      <c r="Z28" s="684"/>
      <c r="AA28" s="684"/>
      <c r="AB28" s="684"/>
      <c r="AC28" s="684"/>
      <c r="AD28" s="684"/>
      <c r="AE28" s="684"/>
      <c r="AF28" s="684"/>
      <c r="AG28" s="684"/>
      <c r="AH28" s="684"/>
      <c r="AI28" s="684"/>
      <c r="AJ28" s="684"/>
      <c r="AK28" s="684"/>
      <c r="AL28" s="684"/>
      <c r="AM28" s="684"/>
      <c r="AN28" s="684"/>
      <c r="AO28" s="684"/>
      <c r="AP28" s="684"/>
      <c r="AQ28" s="308"/>
      <c r="AR28" s="308"/>
      <c r="AS28" s="453"/>
    </row>
    <row r="29" spans="1:45" s="274" customFormat="1" ht="20.100000000000001" hidden="1" customHeight="1">
      <c r="B29" s="274" t="str">
        <f>IF(F15="yes","show","Hide")</f>
        <v>Hide</v>
      </c>
      <c r="E29" s="272"/>
      <c r="F29" s="272"/>
      <c r="G29" s="277"/>
      <c r="H29" s="272"/>
      <c r="K29" s="273"/>
      <c r="P29" s="1420" t="s">
        <v>286</v>
      </c>
      <c r="Q29" s="1420"/>
      <c r="R29" s="1420"/>
      <c r="S29" s="1420"/>
      <c r="T29" s="1420"/>
      <c r="U29" s="1420"/>
      <c r="V29" s="1420"/>
      <c r="W29" s="1420"/>
      <c r="X29" s="1420"/>
      <c r="Y29" s="1420"/>
      <c r="Z29" s="1420"/>
      <c r="AA29" s="1420"/>
      <c r="AB29" s="1420"/>
      <c r="AC29" s="1420"/>
      <c r="AD29" s="1420"/>
      <c r="AE29" s="1420"/>
      <c r="AF29" s="1420"/>
      <c r="AG29" s="1420"/>
      <c r="AH29" s="1420"/>
      <c r="AI29" s="1420"/>
      <c r="AJ29" s="1420"/>
      <c r="AK29" s="1420"/>
      <c r="AL29" s="1420"/>
      <c r="AM29" s="1420"/>
      <c r="AN29" s="1420"/>
      <c r="AO29" s="1420"/>
      <c r="AP29" s="1420"/>
      <c r="AQ29" s="306"/>
      <c r="AR29" s="306"/>
      <c r="AS29" s="739"/>
    </row>
    <row r="30" spans="1:45" s="274" customFormat="1" ht="15" hidden="1" customHeight="1">
      <c r="B30" s="274" t="str">
        <f>B29</f>
        <v>Hide</v>
      </c>
      <c r="E30" s="272"/>
      <c r="F30" s="272"/>
      <c r="G30" s="272"/>
      <c r="H30" s="272"/>
      <c r="K30" s="273"/>
      <c r="P30" s="306"/>
      <c r="Q30" s="306"/>
      <c r="R30" s="306"/>
      <c r="S30" s="306"/>
      <c r="T30" s="31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12"/>
    </row>
    <row r="31" spans="1:45" ht="15" customHeight="1">
      <c r="B31" s="274" t="s">
        <v>62</v>
      </c>
      <c r="O31" s="314"/>
      <c r="P31" s="315"/>
      <c r="Q31" s="315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16" t="str">
        <f>IF(AD154=0,"ADOPTED","AMENDED")</f>
        <v>ADOPTED</v>
      </c>
      <c r="AE31" s="308"/>
      <c r="AF31" s="316" t="str">
        <f>IF(AF154=0,"ADOPTED","AMENDED")</f>
        <v>ADOPTED</v>
      </c>
      <c r="AG31" s="316"/>
      <c r="AH31" s="317" t="s">
        <v>287</v>
      </c>
      <c r="AI31" s="318"/>
      <c r="AJ31" s="317" t="s">
        <v>288</v>
      </c>
      <c r="AK31" s="318"/>
      <c r="AL31" s="317" t="s">
        <v>289</v>
      </c>
      <c r="AM31" s="319"/>
      <c r="AN31" s="316" t="s">
        <v>290</v>
      </c>
      <c r="AO31" s="316"/>
      <c r="AP31" s="316" t="s">
        <v>291</v>
      </c>
      <c r="AQ31" s="316"/>
      <c r="AR31" s="307"/>
      <c r="AS31" s="740"/>
    </row>
    <row r="32" spans="1:45" ht="15" customHeight="1">
      <c r="B32" s="274" t="s">
        <v>62</v>
      </c>
      <c r="O32" s="320"/>
      <c r="P32" s="356" t="s">
        <v>292</v>
      </c>
      <c r="Q32" s="320"/>
      <c r="R32" s="308"/>
      <c r="S32" s="308"/>
      <c r="T32" s="316" t="s">
        <v>287</v>
      </c>
      <c r="U32" s="308"/>
      <c r="V32" s="316" t="s">
        <v>287</v>
      </c>
      <c r="W32" s="316"/>
      <c r="X32" s="316" t="s">
        <v>287</v>
      </c>
      <c r="Y32" s="316"/>
      <c r="Z32" s="316" t="s">
        <v>287</v>
      </c>
      <c r="AA32" s="316"/>
      <c r="AB32" s="316" t="s">
        <v>287</v>
      </c>
      <c r="AC32" s="316"/>
      <c r="AD32" s="316" t="s">
        <v>293</v>
      </c>
      <c r="AE32" s="308"/>
      <c r="AF32" s="316" t="s">
        <v>293</v>
      </c>
      <c r="AG32" s="316"/>
      <c r="AH32" s="316" t="s">
        <v>294</v>
      </c>
      <c r="AI32" s="316"/>
      <c r="AJ32" s="685" t="str">
        <f>'001'!AJ32</f>
        <v>June thru</v>
      </c>
      <c r="AK32" s="316"/>
      <c r="AL32" s="316" t="s">
        <v>288</v>
      </c>
      <c r="AM32" s="322"/>
      <c r="AN32" s="316" t="s">
        <v>296</v>
      </c>
      <c r="AO32" s="316"/>
      <c r="AP32" s="316" t="s">
        <v>293</v>
      </c>
      <c r="AQ32" s="316"/>
      <c r="AR32" s="307"/>
      <c r="AS32" s="740"/>
    </row>
    <row r="33" spans="1:58" ht="15" customHeight="1">
      <c r="A33" s="274" t="s">
        <v>297</v>
      </c>
      <c r="B33" s="274" t="s">
        <v>62</v>
      </c>
      <c r="L33" s="323" t="s">
        <v>65</v>
      </c>
      <c r="M33" s="323" t="s">
        <v>298</v>
      </c>
      <c r="N33" s="324" t="s">
        <v>255</v>
      </c>
      <c r="O33" s="325" t="s">
        <v>253</v>
      </c>
      <c r="P33" s="517" t="s">
        <v>299</v>
      </c>
      <c r="Q33" s="320"/>
      <c r="R33" s="317" t="s">
        <v>300</v>
      </c>
      <c r="S33" s="326"/>
      <c r="T33" s="317" t="s">
        <v>301</v>
      </c>
      <c r="U33" s="326"/>
      <c r="V33" s="317" t="str">
        <f>"FY "&amp;RIGHT(V2,4)</f>
        <v>FY 2012</v>
      </c>
      <c r="W33" s="327"/>
      <c r="X33" s="317" t="str">
        <f>"FY "&amp;RIGHT(X2,4)</f>
        <v>FY 2013</v>
      </c>
      <c r="Y33" s="327"/>
      <c r="Z33" s="317" t="str">
        <f>"FY "&amp;RIGHT(Z2,4)</f>
        <v>FY 2014</v>
      </c>
      <c r="AA33" s="327"/>
      <c r="AB33" s="317" t="str">
        <f>'001'!AB33</f>
        <v>FY - 2015</v>
      </c>
      <c r="AC33" s="327"/>
      <c r="AD33" s="317" t="str">
        <f>'001'!AD33</f>
        <v>FY - 2015</v>
      </c>
      <c r="AE33" s="315"/>
      <c r="AF33" s="317" t="str">
        <f>'001'!AF33</f>
        <v>FY - 2016</v>
      </c>
      <c r="AG33" s="328"/>
      <c r="AH33" s="524" t="str">
        <f>'001'!AH33</f>
        <v>May – 2016</v>
      </c>
      <c r="AI33" s="523"/>
      <c r="AJ33" s="524" t="str">
        <f>'001'!AJ33</f>
        <v>EoFY – 2016</v>
      </c>
      <c r="AK33" s="328"/>
      <c r="AL33" s="317" t="str">
        <f>'001'!AL33</f>
        <v>FY-2016</v>
      </c>
      <c r="AM33" s="328"/>
      <c r="AN33" s="317" t="str">
        <f>'001'!AN33</f>
        <v>FY - 2017</v>
      </c>
      <c r="AO33" s="326"/>
      <c r="AP33" s="317" t="str">
        <f>'001'!AP33</f>
        <v>FY - 2017</v>
      </c>
      <c r="AQ33" s="326"/>
      <c r="AR33" s="330"/>
      <c r="AS33" s="331" t="s">
        <v>305</v>
      </c>
    </row>
    <row r="34" spans="1:58" ht="9.9499999999999993" customHeight="1">
      <c r="B34" s="274" t="s">
        <v>62</v>
      </c>
      <c r="N34" s="332"/>
      <c r="O34" s="333"/>
      <c r="P34" s="326"/>
      <c r="Q34" s="307"/>
      <c r="R34" s="326"/>
      <c r="S34" s="326"/>
      <c r="T34" s="326"/>
      <c r="U34" s="326"/>
      <c r="V34" s="326"/>
      <c r="W34" s="327"/>
      <c r="X34" s="326"/>
      <c r="Y34" s="327"/>
      <c r="Z34" s="326"/>
      <c r="AA34" s="327"/>
      <c r="AB34" s="326"/>
      <c r="AC34" s="327"/>
      <c r="AD34" s="326"/>
      <c r="AE34" s="315"/>
      <c r="AF34" s="326"/>
      <c r="AG34" s="328"/>
      <c r="AH34" s="326"/>
      <c r="AI34" s="328"/>
      <c r="AJ34" s="326"/>
      <c r="AK34" s="328"/>
      <c r="AL34" s="326"/>
      <c r="AM34" s="328"/>
      <c r="AN34" s="326"/>
      <c r="AO34" s="326"/>
      <c r="AP34" s="326"/>
      <c r="AQ34" s="326"/>
      <c r="AR34" s="330"/>
      <c r="AS34" s="741"/>
    </row>
    <row r="35" spans="1:58" ht="20.100000000000001" hidden="1" customHeight="1">
      <c r="B35" s="274" t="s">
        <v>62</v>
      </c>
      <c r="N35" s="332"/>
      <c r="O35" s="335" t="s">
        <v>306</v>
      </c>
      <c r="P35" s="1421" t="s">
        <v>307</v>
      </c>
      <c r="Q35" s="1421"/>
      <c r="R35" s="1421"/>
      <c r="S35" s="1421"/>
      <c r="T35" s="1421"/>
      <c r="U35" s="1421"/>
      <c r="V35" s="1421"/>
      <c r="W35" s="1421"/>
      <c r="X35" s="1421"/>
      <c r="Y35" s="1421"/>
      <c r="Z35" s="1421"/>
      <c r="AA35" s="1421"/>
      <c r="AB35" s="1421"/>
      <c r="AC35" s="1421"/>
      <c r="AD35" s="1421"/>
      <c r="AE35" s="1421"/>
      <c r="AF35" s="1421"/>
      <c r="AG35" s="1421"/>
      <c r="AH35" s="1421"/>
      <c r="AI35" s="1421"/>
      <c r="AJ35" s="1421"/>
      <c r="AK35" s="1421"/>
      <c r="AL35" s="1421"/>
      <c r="AM35" s="1421"/>
      <c r="AN35" s="1421"/>
      <c r="AO35" s="1421"/>
      <c r="AP35" s="1421"/>
      <c r="AQ35" s="326"/>
      <c r="AR35" s="330"/>
      <c r="AS35" s="741"/>
    </row>
    <row r="36" spans="1:58" ht="15" customHeight="1">
      <c r="B36" s="274" t="s">
        <v>62</v>
      </c>
      <c r="O36" s="314"/>
      <c r="P36" s="315"/>
      <c r="Q36" s="307"/>
      <c r="R36" s="1422" t="str">
        <f>IF(R148=0,IF(AND($F$22&gt;"399",$F$22&lt;"500"),"OPERATING REVENUES","REVENUES"),"THIS REPORT HAS AN ERROR, THIS REPORT HAS AN ERROR, THIS REPORT HAS AN ERROR")</f>
        <v>REVENUES</v>
      </c>
      <c r="S36" s="1422"/>
      <c r="T36" s="1422"/>
      <c r="U36" s="1422"/>
      <c r="V36" s="1422"/>
      <c r="W36" s="1422"/>
      <c r="X36" s="1422"/>
      <c r="Y36" s="1422"/>
      <c r="Z36" s="1422"/>
      <c r="AA36" s="1422"/>
      <c r="AB36" s="1422"/>
      <c r="AC36" s="1422"/>
      <c r="AD36" s="1422"/>
      <c r="AE36" s="1422"/>
      <c r="AF36" s="1422"/>
      <c r="AG36" s="1422"/>
      <c r="AH36" s="1422"/>
      <c r="AI36" s="1422"/>
      <c r="AJ36" s="1422"/>
      <c r="AK36" s="1422"/>
      <c r="AL36" s="1422"/>
      <c r="AM36" s="1422"/>
      <c r="AN36" s="1422"/>
      <c r="AO36" s="1422"/>
      <c r="AP36" s="1422"/>
      <c r="AQ36" s="326"/>
      <c r="AR36" s="330"/>
      <c r="AS36" s="741"/>
    </row>
    <row r="37" spans="1:58" ht="0.95" customHeight="1">
      <c r="B37" s="274" t="s">
        <v>62</v>
      </c>
      <c r="O37" s="314"/>
      <c r="P37" s="315"/>
      <c r="Q37" s="307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26"/>
      <c r="AG37" s="328"/>
      <c r="AH37" s="326"/>
      <c r="AI37" s="328"/>
      <c r="AJ37" s="326"/>
      <c r="AK37" s="328"/>
      <c r="AL37" s="326"/>
      <c r="AM37" s="328"/>
      <c r="AN37" s="326"/>
      <c r="AO37" s="326"/>
      <c r="AP37" s="326"/>
      <c r="AQ37" s="326"/>
      <c r="AR37" s="330"/>
      <c r="AS37" s="741"/>
    </row>
    <row r="38" spans="1:58" ht="15.6" customHeight="1">
      <c r="A38" s="271" t="s">
        <v>236</v>
      </c>
      <c r="B38" s="271" t="s">
        <v>62</v>
      </c>
      <c r="E38" s="336" t="str">
        <f>IF(OR($D$7=0,$F$16="YES"),0,"300001..361000|361002..369999")</f>
        <v>300001..361000|361002..369999</v>
      </c>
      <c r="F38" s="300"/>
      <c r="K38" s="337">
        <v>361001</v>
      </c>
      <c r="L38" s="275" t="str">
        <f t="shared" ref="L38:L39" si="2">$F$22</f>
        <v>204</v>
      </c>
      <c r="M38" s="275" t="str">
        <f t="shared" ref="M38:M39" si="3">$J$7</f>
        <v>10/1/2016..9/30/2017</v>
      </c>
      <c r="N38" s="274" t="str">
        <f t="shared" ref="N38:N39" si="4">$D$6</f>
        <v>HARMONY CDD</v>
      </c>
      <c r="O38" s="275">
        <f>K38</f>
        <v>361001</v>
      </c>
      <c r="P38" s="312">
        <f t="shared" ref="P38:P39" si="5">K38</f>
        <v>361001</v>
      </c>
      <c r="Q38" s="307"/>
      <c r="R38" s="338" t="s">
        <v>308</v>
      </c>
      <c r="S38" s="315"/>
      <c r="T38" s="339">
        <v>101</v>
      </c>
      <c r="U38" s="315"/>
      <c r="V38" s="339">
        <v>0</v>
      </c>
      <c r="W38" s="338"/>
      <c r="X38" s="339">
        <v>0</v>
      </c>
      <c r="Y38" s="338"/>
      <c r="Z38" s="339">
        <v>0</v>
      </c>
      <c r="AA38" s="338"/>
      <c r="AB38" s="340">
        <v>62</v>
      </c>
      <c r="AC38" s="341"/>
      <c r="AD38" s="340">
        <v>0</v>
      </c>
      <c r="AE38" s="342"/>
      <c r="AF38" s="340">
        <v>0</v>
      </c>
      <c r="AG38" s="342"/>
      <c r="AH38" s="340">
        <v>237</v>
      </c>
      <c r="AI38" s="342"/>
      <c r="AJ38" s="343">
        <f>300-AH38</f>
        <v>63</v>
      </c>
      <c r="AK38" s="342"/>
      <c r="AL38" s="340">
        <f t="shared" ref="AL38:AL42" si="6">IF(ISERROR(AH38+AJ38),0,(AH38+AJ38))</f>
        <v>300</v>
      </c>
      <c r="AM38" s="340"/>
      <c r="AN38" s="340">
        <v>0</v>
      </c>
      <c r="AO38" s="340"/>
      <c r="AP38" s="343">
        <v>300</v>
      </c>
      <c r="AQ38" s="344">
        <f t="shared" ref="AQ38:AQ39" si="7">ABS(SUMIF(V38:AP38,"&gt;0")-SUMIF(V38:AP38,"&lt;0"))</f>
        <v>962</v>
      </c>
      <c r="AR38" s="330"/>
      <c r="AS38" s="742"/>
      <c r="AV38" s="346"/>
    </row>
    <row r="39" spans="1:58" ht="15.6" customHeight="1">
      <c r="A39" s="271" t="s">
        <v>236</v>
      </c>
      <c r="B39" s="271" t="str">
        <f>IF(AQ39=0,"Hide","Show")</f>
        <v>Show</v>
      </c>
      <c r="E39" s="347"/>
      <c r="K39" s="337" t="s">
        <v>483</v>
      </c>
      <c r="L39" s="275" t="str">
        <f t="shared" si="2"/>
        <v>204</v>
      </c>
      <c r="M39" s="275" t="str">
        <f t="shared" si="3"/>
        <v>10/1/2016..9/30/2017</v>
      </c>
      <c r="N39" s="274" t="str">
        <f t="shared" si="4"/>
        <v>HARMONY CDD</v>
      </c>
      <c r="O39" s="275" t="str">
        <f>IF(K39="","8888888",K39)</f>
        <v>363010</v>
      </c>
      <c r="P39" s="312" t="str">
        <f t="shared" si="5"/>
        <v>363010</v>
      </c>
      <c r="Q39" s="316"/>
      <c r="R39" s="338" t="s">
        <v>314</v>
      </c>
      <c r="S39" s="338"/>
      <c r="T39" s="348">
        <v>0</v>
      </c>
      <c r="U39" s="338"/>
      <c r="V39" s="348">
        <v>0</v>
      </c>
      <c r="W39" s="349"/>
      <c r="X39" s="348">
        <v>0</v>
      </c>
      <c r="Y39" s="349"/>
      <c r="Z39" s="348">
        <v>0</v>
      </c>
      <c r="AA39" s="349"/>
      <c r="AB39" s="350">
        <v>0</v>
      </c>
      <c r="AC39" s="351"/>
      <c r="AD39" s="350">
        <v>0</v>
      </c>
      <c r="AE39" s="352"/>
      <c r="AF39" s="350">
        <v>54166</v>
      </c>
      <c r="AG39" s="352"/>
      <c r="AH39" s="350">
        <v>54166</v>
      </c>
      <c r="AI39" s="352"/>
      <c r="AJ39" s="353">
        <f>+AF39-AH39</f>
        <v>0</v>
      </c>
      <c r="AK39" s="352"/>
      <c r="AL39" s="350">
        <f t="shared" si="6"/>
        <v>54166</v>
      </c>
      <c r="AM39" s="350"/>
      <c r="AN39" s="354">
        <v>0</v>
      </c>
      <c r="AO39" s="350"/>
      <c r="AP39" s="355">
        <f>'Assess_Rates-Rev1'!AG60</f>
        <v>360344.72722869541</v>
      </c>
      <c r="AQ39" s="344">
        <f t="shared" si="7"/>
        <v>522842.72722869541</v>
      </c>
      <c r="AR39" s="308"/>
      <c r="AS39" s="742"/>
      <c r="AV39" s="346"/>
    </row>
    <row r="40" spans="1:58" ht="15.6" customHeight="1">
      <c r="E40" s="347"/>
      <c r="K40" s="337"/>
      <c r="L40" s="275"/>
      <c r="M40" s="275"/>
      <c r="N40" s="274"/>
      <c r="O40" s="275"/>
      <c r="P40" s="312"/>
      <c r="Q40" s="316"/>
      <c r="R40" s="338" t="s">
        <v>315</v>
      </c>
      <c r="S40" s="338"/>
      <c r="T40" s="348"/>
      <c r="U40" s="338"/>
      <c r="V40" s="348"/>
      <c r="W40" s="349"/>
      <c r="X40" s="348"/>
      <c r="Y40" s="349"/>
      <c r="Z40" s="348"/>
      <c r="AA40" s="349"/>
      <c r="AB40" s="350">
        <v>0</v>
      </c>
      <c r="AC40" s="351"/>
      <c r="AD40" s="350"/>
      <c r="AE40" s="352"/>
      <c r="AF40" s="350">
        <v>0</v>
      </c>
      <c r="AG40" s="352"/>
      <c r="AH40" s="350">
        <v>0</v>
      </c>
      <c r="AI40" s="352"/>
      <c r="AJ40" s="353">
        <v>0</v>
      </c>
      <c r="AK40" s="352"/>
      <c r="AL40" s="350">
        <f t="shared" si="6"/>
        <v>0</v>
      </c>
      <c r="AM40" s="350"/>
      <c r="AN40" s="354"/>
      <c r="AO40" s="350"/>
      <c r="AP40" s="355">
        <v>0</v>
      </c>
      <c r="AQ40" s="344"/>
      <c r="AR40" s="308"/>
      <c r="AS40" s="742"/>
      <c r="AV40" s="346"/>
    </row>
    <row r="41" spans="1:58" ht="15.6" customHeight="1">
      <c r="A41" s="271" t="s">
        <v>311</v>
      </c>
      <c r="B41" s="271" t="str">
        <f t="shared" ref="B41:B42" si="8">IF(AQ41=0,"Hide","Show")</f>
        <v>Show</v>
      </c>
      <c r="E41" s="347"/>
      <c r="K41" s="337" t="str">
        <f>"363040"</f>
        <v>363040</v>
      </c>
      <c r="L41" s="275" t="str">
        <f t="shared" ref="L41:L42" si="9">$F$22</f>
        <v>204</v>
      </c>
      <c r="M41" s="275" t="str">
        <f t="shared" ref="M41:M42" si="10">$J$7</f>
        <v>10/1/2016..9/30/2017</v>
      </c>
      <c r="N41" s="274" t="str">
        <f t="shared" ref="N41:N42" si="11">$D$6</f>
        <v>HARMONY CDD</v>
      </c>
      <c r="O41" s="275" t="str">
        <f t="shared" ref="O41:O42" si="12">IF(K41="","8888888",K41)</f>
        <v>363040</v>
      </c>
      <c r="P41" s="312" t="str">
        <f t="shared" ref="P41:P42" si="13">K41</f>
        <v>363040</v>
      </c>
      <c r="Q41" s="316"/>
      <c r="R41" s="338" t="s">
        <v>316</v>
      </c>
      <c r="S41" s="338"/>
      <c r="T41" s="348">
        <v>465494</v>
      </c>
      <c r="U41" s="338"/>
      <c r="V41" s="348">
        <v>0</v>
      </c>
      <c r="W41" s="349"/>
      <c r="X41" s="348">
        <v>0</v>
      </c>
      <c r="Y41" s="349"/>
      <c r="Z41" s="348">
        <v>0</v>
      </c>
      <c r="AA41" s="349"/>
      <c r="AB41" s="350">
        <v>0</v>
      </c>
      <c r="AC41" s="351"/>
      <c r="AD41" s="350">
        <v>0</v>
      </c>
      <c r="AE41" s="352"/>
      <c r="AF41" s="350">
        <v>1013028</v>
      </c>
      <c r="AG41" s="352"/>
      <c r="AH41" s="350">
        <v>1029815</v>
      </c>
      <c r="AI41" s="352"/>
      <c r="AJ41" s="353">
        <v>0</v>
      </c>
      <c r="AK41" s="352"/>
      <c r="AL41" s="350">
        <f t="shared" si="6"/>
        <v>1029815</v>
      </c>
      <c r="AM41" s="350"/>
      <c r="AN41" s="354">
        <v>0</v>
      </c>
      <c r="AO41" s="350"/>
      <c r="AP41" s="355">
        <f>'Assess_Rates-Rev1'!AG61</f>
        <v>725219.71640502615</v>
      </c>
      <c r="AQ41" s="344">
        <f t="shared" ref="AQ41:AQ42" si="14">ABS(SUMIF(V41:AP41,"&gt;0")-SUMIF(V41:AP41,"&lt;0"))</f>
        <v>3797877.7164050261</v>
      </c>
      <c r="AR41" s="308"/>
      <c r="AS41" s="742"/>
      <c r="AV41" s="346"/>
    </row>
    <row r="42" spans="1:58" ht="15.6" customHeight="1">
      <c r="A42" s="271" t="s">
        <v>311</v>
      </c>
      <c r="B42" s="271" t="str">
        <f t="shared" si="8"/>
        <v>Show</v>
      </c>
      <c r="E42" s="347"/>
      <c r="K42" s="337" t="str">
        <f>"363090"</f>
        <v>363090</v>
      </c>
      <c r="L42" s="275" t="str">
        <f t="shared" si="9"/>
        <v>204</v>
      </c>
      <c r="M42" s="275" t="str">
        <f t="shared" si="10"/>
        <v>10/1/2016..9/30/2017</v>
      </c>
      <c r="N42" s="274" t="str">
        <f t="shared" si="11"/>
        <v>HARMONY CDD</v>
      </c>
      <c r="O42" s="275" t="str">
        <f t="shared" si="12"/>
        <v>363090</v>
      </c>
      <c r="P42" s="312" t="str">
        <f t="shared" si="13"/>
        <v>363090</v>
      </c>
      <c r="Q42" s="316"/>
      <c r="R42" s="338" t="s">
        <v>318</v>
      </c>
      <c r="S42" s="338"/>
      <c r="T42" s="348">
        <v>0</v>
      </c>
      <c r="U42" s="338"/>
      <c r="V42" s="348">
        <v>0</v>
      </c>
      <c r="W42" s="349"/>
      <c r="X42" s="348">
        <v>0</v>
      </c>
      <c r="Y42" s="349"/>
      <c r="Z42" s="348">
        <v>0</v>
      </c>
      <c r="AA42" s="349"/>
      <c r="AB42" s="350">
        <v>0</v>
      </c>
      <c r="AC42" s="351"/>
      <c r="AD42" s="350">
        <v>0</v>
      </c>
      <c r="AE42" s="352"/>
      <c r="AF42" s="350">
        <v>-2167</v>
      </c>
      <c r="AG42" s="352"/>
      <c r="AH42" s="350">
        <v>0</v>
      </c>
      <c r="AI42" s="352"/>
      <c r="AJ42" s="353">
        <v>0</v>
      </c>
      <c r="AK42" s="352"/>
      <c r="AL42" s="350">
        <f t="shared" si="6"/>
        <v>0</v>
      </c>
      <c r="AM42" s="350"/>
      <c r="AN42" s="354">
        <v>0</v>
      </c>
      <c r="AO42" s="350"/>
      <c r="AP42" s="353">
        <f>ROUND(-AP39*0.04,0)</f>
        <v>-14414</v>
      </c>
      <c r="AQ42" s="344">
        <f t="shared" si="14"/>
        <v>16581</v>
      </c>
      <c r="AR42" s="308"/>
      <c r="AS42" s="742"/>
      <c r="AV42" s="346"/>
    </row>
    <row r="43" spans="1:58" ht="3.95" customHeight="1">
      <c r="B43" s="274" t="s">
        <v>62</v>
      </c>
      <c r="E43" s="347"/>
      <c r="K43" s="278"/>
      <c r="L43" s="275"/>
      <c r="M43" s="275"/>
      <c r="N43" s="274"/>
      <c r="O43" s="275"/>
      <c r="P43" s="312"/>
      <c r="Q43" s="316"/>
      <c r="R43" s="338"/>
      <c r="S43" s="338"/>
      <c r="T43" s="339"/>
      <c r="U43" s="338"/>
      <c r="V43" s="339"/>
      <c r="W43" s="338"/>
      <c r="X43" s="339"/>
      <c r="Y43" s="338"/>
      <c r="Z43" s="339"/>
      <c r="AA43" s="338"/>
      <c r="AB43" s="350"/>
      <c r="AC43" s="351"/>
      <c r="AD43" s="350"/>
      <c r="AE43" s="352"/>
      <c r="AF43" s="350"/>
      <c r="AG43" s="352"/>
      <c r="AH43" s="350"/>
      <c r="AI43" s="352"/>
      <c r="AJ43" s="350"/>
      <c r="AK43" s="352"/>
      <c r="AL43" s="350"/>
      <c r="AM43" s="350"/>
      <c r="AN43" s="350"/>
      <c r="AO43" s="350"/>
      <c r="AP43" s="350"/>
      <c r="AQ43" s="358"/>
      <c r="AR43" s="308"/>
      <c r="AS43" s="743"/>
    </row>
    <row r="44" spans="1:58" ht="15" hidden="1" customHeight="1">
      <c r="B44" s="274" t="s">
        <v>31</v>
      </c>
      <c r="E44" s="336">
        <f>IF(OR($D$7=0,$F$16="NO"),0,"300001..361000|361002..369999")</f>
        <v>0</v>
      </c>
      <c r="F44" s="300"/>
      <c r="K44" s="278"/>
      <c r="L44" s="275"/>
      <c r="M44" s="275"/>
      <c r="N44" s="274"/>
      <c r="O44" s="275"/>
      <c r="P44" s="312"/>
      <c r="Q44" s="316"/>
      <c r="R44" s="338"/>
      <c r="S44" s="338"/>
      <c r="T44" s="339"/>
      <c r="U44" s="338"/>
      <c r="V44" s="339"/>
      <c r="W44" s="338"/>
      <c r="X44" s="339"/>
      <c r="Y44" s="338"/>
      <c r="Z44" s="339"/>
      <c r="AA44" s="338"/>
      <c r="AB44" s="350"/>
      <c r="AC44" s="351"/>
      <c r="AD44" s="350"/>
      <c r="AE44" s="352"/>
      <c r="AF44" s="350"/>
      <c r="AG44" s="352"/>
      <c r="AH44" s="350"/>
      <c r="AI44" s="352"/>
      <c r="AJ44" s="350"/>
      <c r="AK44" s="352"/>
      <c r="AL44" s="350"/>
      <c r="AM44" s="350"/>
      <c r="AN44" s="350"/>
      <c r="AO44" s="350"/>
      <c r="AP44" s="350"/>
      <c r="AQ44" s="358"/>
      <c r="AR44" s="308"/>
      <c r="AS44" s="743"/>
    </row>
    <row r="45" spans="1:58" ht="15" hidden="1" customHeight="1">
      <c r="B45" s="274" t="s">
        <v>31</v>
      </c>
      <c r="I45" s="360"/>
      <c r="K45" s="278"/>
      <c r="L45" s="275"/>
      <c r="M45" s="275"/>
      <c r="N45" s="274"/>
      <c r="O45" s="275"/>
      <c r="P45" s="312"/>
      <c r="Q45" s="316"/>
      <c r="R45" s="338"/>
      <c r="S45" s="338"/>
      <c r="T45" s="339"/>
      <c r="U45" s="338"/>
      <c r="V45" s="339"/>
      <c r="W45" s="338"/>
      <c r="X45" s="339"/>
      <c r="Y45" s="338"/>
      <c r="Z45" s="339"/>
      <c r="AA45" s="338"/>
      <c r="AB45" s="350"/>
      <c r="AC45" s="351"/>
      <c r="AD45" s="350"/>
      <c r="AE45" s="352"/>
      <c r="AF45" s="350"/>
      <c r="AG45" s="352"/>
      <c r="AH45" s="350"/>
      <c r="AI45" s="352"/>
      <c r="AJ45" s="350"/>
      <c r="AK45" s="352"/>
      <c r="AL45" s="350"/>
      <c r="AM45" s="350"/>
      <c r="AN45" s="350"/>
      <c r="AO45" s="350"/>
      <c r="AP45" s="350"/>
      <c r="AQ45" s="358"/>
      <c r="AR45" s="308"/>
      <c r="AS45" s="743"/>
    </row>
    <row r="46" spans="1:58" ht="15" hidden="1" customHeight="1">
      <c r="B46" s="274" t="str">
        <f>B49</f>
        <v>Hide</v>
      </c>
      <c r="I46" s="360" t="str">
        <f>IF(I45="","9999999",I45)</f>
        <v>9999999</v>
      </c>
      <c r="K46" s="278"/>
      <c r="L46" s="275"/>
      <c r="M46" s="275"/>
      <c r="N46" s="274"/>
      <c r="O46" s="275"/>
      <c r="P46" s="312"/>
      <c r="Q46" s="316"/>
      <c r="R46" s="361"/>
      <c r="S46" s="338"/>
      <c r="T46" s="339"/>
      <c r="U46" s="338"/>
      <c r="V46" s="339"/>
      <c r="W46" s="338"/>
      <c r="X46" s="339"/>
      <c r="Y46" s="338"/>
      <c r="Z46" s="339"/>
      <c r="AA46" s="338"/>
      <c r="AB46" s="350"/>
      <c r="AC46" s="351"/>
      <c r="AD46" s="350"/>
      <c r="AE46" s="352"/>
      <c r="AF46" s="350"/>
      <c r="AG46" s="352"/>
      <c r="AH46" s="350"/>
      <c r="AI46" s="352"/>
      <c r="AJ46" s="350"/>
      <c r="AK46" s="352"/>
      <c r="AL46" s="350"/>
      <c r="AM46" s="350"/>
      <c r="AN46" s="350"/>
      <c r="AO46" s="350"/>
      <c r="AP46" s="350"/>
      <c r="AQ46" s="358"/>
      <c r="AR46" s="308"/>
      <c r="AS46" s="743"/>
      <c r="AU46" s="362" t="s">
        <v>301</v>
      </c>
      <c r="AV46" s="362" t="str">
        <f>$V$33</f>
        <v>FY 2012</v>
      </c>
      <c r="AW46" s="362" t="str">
        <f>$X$33</f>
        <v>FY 2013</v>
      </c>
      <c r="AX46" s="362" t="str">
        <f>$Z$33</f>
        <v>FY 2014</v>
      </c>
      <c r="AY46" s="362" t="str">
        <f>$AB$33</f>
        <v>FY - 2015</v>
      </c>
      <c r="AZ46" s="362" t="s">
        <v>327</v>
      </c>
      <c r="BA46" s="362" t="s">
        <v>328</v>
      </c>
      <c r="BB46" s="362" t="s">
        <v>329</v>
      </c>
      <c r="BC46" s="362" t="s">
        <v>330</v>
      </c>
      <c r="BD46" s="362" t="s">
        <v>289</v>
      </c>
      <c r="BE46" s="362" t="s">
        <v>331</v>
      </c>
      <c r="BF46" s="362" t="s">
        <v>332</v>
      </c>
    </row>
    <row r="47" spans="1:58" ht="15" hidden="1" customHeight="1">
      <c r="A47" s="271" t="s">
        <v>236</v>
      </c>
      <c r="B47" s="271" t="str">
        <f>IF(AQ47=0,"Hide","Show")</f>
        <v>Hide</v>
      </c>
      <c r="E47" s="347"/>
      <c r="I47" s="360" t="str">
        <f t="shared" ref="I47:I50" si="15">I46</f>
        <v>9999999</v>
      </c>
      <c r="K47" s="337"/>
      <c r="L47" s="275" t="str">
        <f>$F$22</f>
        <v>204</v>
      </c>
      <c r="M47" s="275" t="str">
        <f>$J$7</f>
        <v>10/1/2016..9/30/2017</v>
      </c>
      <c r="N47" s="274" t="str">
        <f>$D$6</f>
        <v>HARMONY CDD</v>
      </c>
      <c r="O47" s="275" t="str">
        <f>K47&amp;" "&amp;I47</f>
        <v xml:space="preserve"> 9999999</v>
      </c>
      <c r="P47" s="312">
        <f>K47</f>
        <v>0</v>
      </c>
      <c r="Q47" s="316"/>
      <c r="R47" s="338"/>
      <c r="S47" s="338"/>
      <c r="T47" s="348">
        <v>0</v>
      </c>
      <c r="U47" s="338"/>
      <c r="V47" s="348">
        <v>0</v>
      </c>
      <c r="W47" s="349"/>
      <c r="X47" s="348">
        <v>0</v>
      </c>
      <c r="Y47" s="349"/>
      <c r="Z47" s="348">
        <v>0</v>
      </c>
      <c r="AA47" s="349"/>
      <c r="AB47" s="350">
        <v>0</v>
      </c>
      <c r="AC47" s="351"/>
      <c r="AD47" s="350">
        <v>0</v>
      </c>
      <c r="AE47" s="352"/>
      <c r="AF47" s="350">
        <v>0</v>
      </c>
      <c r="AG47" s="352"/>
      <c r="AH47" s="350">
        <v>0</v>
      </c>
      <c r="AI47" s="352"/>
      <c r="AJ47" s="353">
        <f>+AF47-AH47</f>
        <v>0</v>
      </c>
      <c r="AK47" s="352"/>
      <c r="AL47" s="350">
        <f>IF(ISERROR(AH47+AJ47),0,(AH47+AJ47))</f>
        <v>0</v>
      </c>
      <c r="AM47" s="350"/>
      <c r="AN47" s="354">
        <v>0</v>
      </c>
      <c r="AO47" s="350"/>
      <c r="AP47" s="353">
        <f>IF($F$13="YES",AF47,AN47)</f>
        <v>0</v>
      </c>
      <c r="AQ47" s="344">
        <f>ABS(SUMIF(V47:AP47,"&gt;0")-SUMIF(V47:AP47,"&lt;0"))</f>
        <v>0</v>
      </c>
      <c r="AR47" s="308"/>
      <c r="AS47" s="742"/>
    </row>
    <row r="48" spans="1:58" ht="3.95" hidden="1" customHeight="1">
      <c r="B48" s="274" t="str">
        <f>B49</f>
        <v>Hide</v>
      </c>
      <c r="E48" s="347"/>
      <c r="I48" s="360" t="str">
        <f t="shared" si="15"/>
        <v>9999999</v>
      </c>
      <c r="K48" s="278"/>
      <c r="L48" s="275"/>
      <c r="M48" s="275"/>
      <c r="N48" s="274"/>
      <c r="O48" s="275"/>
      <c r="P48" s="312"/>
      <c r="Q48" s="316"/>
      <c r="R48" s="363"/>
      <c r="S48" s="338"/>
      <c r="T48" s="339"/>
      <c r="U48" s="338"/>
      <c r="V48" s="339"/>
      <c r="W48" s="338"/>
      <c r="X48" s="339"/>
      <c r="Y48" s="338"/>
      <c r="Z48" s="339"/>
      <c r="AA48" s="338"/>
      <c r="AB48" s="350"/>
      <c r="AC48" s="351"/>
      <c r="AD48" s="350"/>
      <c r="AE48" s="352"/>
      <c r="AF48" s="350"/>
      <c r="AG48" s="352"/>
      <c r="AH48" s="350"/>
      <c r="AI48" s="352"/>
      <c r="AJ48" s="350"/>
      <c r="AK48" s="352"/>
      <c r="AL48" s="350"/>
      <c r="AM48" s="350"/>
      <c r="AN48" s="350"/>
      <c r="AO48" s="350"/>
      <c r="AP48" s="350"/>
      <c r="AQ48" s="358"/>
      <c r="AR48" s="308"/>
      <c r="AS48" s="743"/>
    </row>
    <row r="49" spans="1:59" ht="15" hidden="1" customHeight="1">
      <c r="B49" s="271" t="str">
        <f>IF(AQ49=0,"Hide","Show")</f>
        <v>Hide</v>
      </c>
      <c r="E49" s="347"/>
      <c r="I49" s="360" t="str">
        <f t="shared" si="15"/>
        <v>9999999</v>
      </c>
      <c r="K49" s="278"/>
      <c r="L49" s="275"/>
      <c r="M49" s="275"/>
      <c r="N49" s="274"/>
      <c r="O49" s="275"/>
      <c r="P49" s="312"/>
      <c r="Q49" s="316"/>
      <c r="R49" s="363" t="s">
        <v>150</v>
      </c>
      <c r="S49" s="338"/>
      <c r="T49" s="364">
        <f>SUM(T46:T48)</f>
        <v>0</v>
      </c>
      <c r="U49" s="338"/>
      <c r="V49" s="364">
        <f>SUM(V46:V48)</f>
        <v>0</v>
      </c>
      <c r="W49" s="338"/>
      <c r="X49" s="364">
        <f>SUM(X46:X48)</f>
        <v>0</v>
      </c>
      <c r="Y49" s="338"/>
      <c r="Z49" s="364">
        <f>SUM(Z46:Z48)</f>
        <v>0</v>
      </c>
      <c r="AA49" s="338"/>
      <c r="AB49" s="365">
        <f>SUM(AB46:AB48)</f>
        <v>0</v>
      </c>
      <c r="AC49" s="351"/>
      <c r="AD49" s="365">
        <f>SUM(AD46:AD48)</f>
        <v>0</v>
      </c>
      <c r="AE49" s="352"/>
      <c r="AF49" s="365">
        <f>SUM(AF46:AF48)</f>
        <v>0</v>
      </c>
      <c r="AG49" s="352"/>
      <c r="AH49" s="365">
        <f>SUM(AH46:AH48)</f>
        <v>0</v>
      </c>
      <c r="AI49" s="352"/>
      <c r="AJ49" s="365">
        <f>SUM(AJ46:AJ48)</f>
        <v>0</v>
      </c>
      <c r="AK49" s="352"/>
      <c r="AL49" s="365">
        <f>SUM(AL46:AL48)</f>
        <v>0</v>
      </c>
      <c r="AM49" s="350"/>
      <c r="AN49" s="365">
        <f>SUM(AN46:AN48)</f>
        <v>0</v>
      </c>
      <c r="AO49" s="350"/>
      <c r="AP49" s="365">
        <f>SUM(AP46:AP48)</f>
        <v>0</v>
      </c>
      <c r="AQ49" s="344">
        <f>ABS(SUMIF(V49:AP49,"&gt;0")-SUMIF(V49:AP49,"&lt;0"))</f>
        <v>0</v>
      </c>
      <c r="AR49" s="308"/>
      <c r="AS49" s="743"/>
      <c r="AU49" s="366">
        <f>SUM(T46:T48)</f>
        <v>0</v>
      </c>
      <c r="AV49" s="366">
        <f>SUM(V46:V48)</f>
        <v>0</v>
      </c>
      <c r="AW49" s="366">
        <f>SUM(X46:X48)</f>
        <v>0</v>
      </c>
      <c r="AX49" s="366">
        <f>SUM(Z46:Z48)</f>
        <v>0</v>
      </c>
      <c r="AY49" s="366">
        <f>SUM(AB46:AB48)</f>
        <v>0</v>
      </c>
      <c r="AZ49" s="366">
        <f>SUM(AD46:AD48)</f>
        <v>0</v>
      </c>
      <c r="BA49" s="366">
        <f>SUM(AF46:AF48)</f>
        <v>0</v>
      </c>
      <c r="BB49" s="366">
        <f>SUM(AH46:AH48)</f>
        <v>0</v>
      </c>
      <c r="BC49" s="366">
        <f>SUM(AJ46:AJ48)</f>
        <v>0</v>
      </c>
      <c r="BD49" s="366">
        <f>SUM(AL46:AL48)</f>
        <v>0</v>
      </c>
      <c r="BE49" s="367">
        <f>SUM(AN46:AN48)</f>
        <v>0</v>
      </c>
      <c r="BF49" s="367">
        <f>SUM(AP46:AP48)</f>
        <v>0</v>
      </c>
    </row>
    <row r="50" spans="1:59" ht="3.95" hidden="1" customHeight="1">
      <c r="B50" s="274" t="str">
        <f>B49</f>
        <v>Hide</v>
      </c>
      <c r="E50" s="347"/>
      <c r="H50" s="271"/>
      <c r="I50" s="360" t="str">
        <f t="shared" si="15"/>
        <v>9999999</v>
      </c>
      <c r="K50" s="278"/>
      <c r="L50" s="275"/>
      <c r="M50" s="275"/>
      <c r="N50" s="274"/>
      <c r="O50" s="275"/>
      <c r="P50" s="312"/>
      <c r="Q50" s="316"/>
      <c r="R50" s="338"/>
      <c r="S50" s="338"/>
      <c r="T50" s="339"/>
      <c r="U50" s="338"/>
      <c r="V50" s="339"/>
      <c r="W50" s="338"/>
      <c r="X50" s="339"/>
      <c r="Y50" s="338"/>
      <c r="Z50" s="339"/>
      <c r="AA50" s="338"/>
      <c r="AB50" s="350"/>
      <c r="AC50" s="351"/>
      <c r="AD50" s="350"/>
      <c r="AE50" s="352"/>
      <c r="AF50" s="350"/>
      <c r="AG50" s="352"/>
      <c r="AH50" s="350"/>
      <c r="AI50" s="352"/>
      <c r="AJ50" s="350"/>
      <c r="AK50" s="352"/>
      <c r="AL50" s="350"/>
      <c r="AM50" s="350"/>
      <c r="AN50" s="350"/>
      <c r="AO50" s="350"/>
      <c r="AP50" s="350"/>
      <c r="AQ50" s="358"/>
      <c r="AR50" s="308"/>
      <c r="AS50" s="743"/>
    </row>
    <row r="51" spans="1:59" ht="3.95" customHeight="1">
      <c r="B51" s="274" t="s">
        <v>62</v>
      </c>
      <c r="E51" s="347"/>
      <c r="H51" s="271"/>
      <c r="I51" s="360"/>
      <c r="K51" s="278"/>
      <c r="L51" s="275"/>
      <c r="M51" s="275"/>
      <c r="N51" s="274"/>
      <c r="O51" s="275"/>
      <c r="P51" s="312"/>
      <c r="Q51" s="316"/>
      <c r="R51" s="338"/>
      <c r="S51" s="338"/>
      <c r="T51" s="339"/>
      <c r="U51" s="338"/>
      <c r="V51" s="339"/>
      <c r="W51" s="338"/>
      <c r="X51" s="339"/>
      <c r="Y51" s="338"/>
      <c r="Z51" s="339"/>
      <c r="AA51" s="338"/>
      <c r="AB51" s="350"/>
      <c r="AC51" s="351"/>
      <c r="AD51" s="350"/>
      <c r="AE51" s="352"/>
      <c r="AF51" s="350"/>
      <c r="AG51" s="352"/>
      <c r="AH51" s="350"/>
      <c r="AI51" s="352"/>
      <c r="AJ51" s="350"/>
      <c r="AK51" s="352"/>
      <c r="AL51" s="350"/>
      <c r="AM51" s="350"/>
      <c r="AN51" s="350"/>
      <c r="AO51" s="350"/>
      <c r="AP51" s="350"/>
      <c r="AQ51" s="358"/>
      <c r="AR51" s="308"/>
      <c r="AS51" s="743"/>
    </row>
    <row r="52" spans="1:59" ht="15" customHeight="1">
      <c r="B52" s="274" t="s">
        <v>62</v>
      </c>
      <c r="E52" s="347"/>
      <c r="H52" s="271"/>
      <c r="K52" s="278"/>
      <c r="L52" s="275"/>
      <c r="M52" s="275"/>
      <c r="O52" s="283"/>
      <c r="P52" s="310"/>
      <c r="Q52" s="316"/>
      <c r="R52" s="368" t="str">
        <f>IF(AND($F$22&gt;"399",$F$22&lt;"500"),"TOTAL OPERATING REVENUES","TOTAL REVENUES")</f>
        <v>TOTAL REVENUES</v>
      </c>
      <c r="S52" s="369"/>
      <c r="T52" s="370">
        <f>SUM(T37:T43)+SUM(AU47:AU51)</f>
        <v>465595</v>
      </c>
      <c r="U52" s="369"/>
      <c r="V52" s="370">
        <f>SUM(V37:V43)+SUM(AV47:AV51)</f>
        <v>0</v>
      </c>
      <c r="W52" s="371"/>
      <c r="X52" s="370">
        <f>SUM(X37:X43)+SUM(AW47:AW51)</f>
        <v>0</v>
      </c>
      <c r="Y52" s="371"/>
      <c r="Z52" s="370">
        <f>SUM(Z37:Z43)+SUM(AX47:AX51)</f>
        <v>0</v>
      </c>
      <c r="AA52" s="371"/>
      <c r="AB52" s="372">
        <f>SUM(AB37:AB43)+SUM(AY47:AY51)</f>
        <v>62</v>
      </c>
      <c r="AC52" s="373"/>
      <c r="AD52" s="372">
        <f>SUM(AD37:AD43)+SUM(AZ47:AZ51)</f>
        <v>0</v>
      </c>
      <c r="AE52" s="374"/>
      <c r="AF52" s="372">
        <f>SUM(AF37:AF43)+SUM(BA47:BA51)</f>
        <v>1065027</v>
      </c>
      <c r="AG52" s="374"/>
      <c r="AH52" s="372">
        <f>SUM(AH37:AH43)+SUM(BB47:BB51)</f>
        <v>1084218</v>
      </c>
      <c r="AI52" s="374"/>
      <c r="AJ52" s="372">
        <f>SUM(AJ37:AJ43)+SUM(BC47:BC51)</f>
        <v>63</v>
      </c>
      <c r="AK52" s="374"/>
      <c r="AL52" s="372">
        <f>SUM(AL37:AL43)+SUM(BD47:BD51)</f>
        <v>1084281</v>
      </c>
      <c r="AM52" s="372"/>
      <c r="AN52" s="372">
        <f>SUM(AN37:AN43)+SUM(BE47:BE51)</f>
        <v>0</v>
      </c>
      <c r="AO52" s="372"/>
      <c r="AP52" s="375">
        <f>SUM(AP37:AP43)+SUM(BF47:BF51)</f>
        <v>1071450.4436337217</v>
      </c>
      <c r="AQ52" s="344">
        <f>ABS(SUMIF(V52:AP52,"&gt;0")-SUMIF(V52:AP52,"&lt;0"))</f>
        <v>4305101.4436337221</v>
      </c>
      <c r="AR52" s="308"/>
      <c r="AS52" s="743"/>
    </row>
    <row r="53" spans="1:59" ht="15.95" customHeight="1">
      <c r="B53" s="271" t="s">
        <v>62</v>
      </c>
      <c r="E53" s="376"/>
      <c r="F53" s="271"/>
      <c r="G53" s="271"/>
      <c r="H53" s="271"/>
      <c r="K53" s="377"/>
      <c r="L53" s="280"/>
      <c r="M53" s="280"/>
      <c r="O53" s="280"/>
      <c r="P53" s="280"/>
      <c r="Q53" s="320"/>
      <c r="R53" s="378" t="s">
        <v>333</v>
      </c>
      <c r="S53" s="379"/>
      <c r="T53" s="380"/>
      <c r="U53" s="379"/>
      <c r="V53" s="380"/>
      <c r="W53" s="379"/>
      <c r="X53" s="380"/>
      <c r="Y53" s="379"/>
      <c r="Z53" s="380"/>
      <c r="AA53" s="379"/>
      <c r="AB53" s="381"/>
      <c r="AC53" s="382"/>
      <c r="AD53" s="381"/>
      <c r="AE53" s="383"/>
      <c r="AF53" s="381"/>
      <c r="AG53" s="383"/>
      <c r="AH53" s="381"/>
      <c r="AI53" s="383"/>
      <c r="AJ53" s="381"/>
      <c r="AK53" s="383"/>
      <c r="AL53" s="384">
        <f>AL52-AF52</f>
        <v>19254</v>
      </c>
      <c r="AM53" s="381"/>
      <c r="AN53" s="381"/>
      <c r="AO53" s="381"/>
      <c r="AP53" s="381"/>
      <c r="AQ53" s="380"/>
      <c r="AR53" s="308"/>
      <c r="AS53" s="385" t="s">
        <v>334</v>
      </c>
    </row>
    <row r="54" spans="1:59" ht="15" hidden="1" customHeight="1">
      <c r="B54" s="274" t="str">
        <f>IF(AQ58=0,"Hide","Show")</f>
        <v>Hide</v>
      </c>
      <c r="E54" s="336">
        <f>IF(OR($F$22=0,VALUE($F$22)&lt;=399,VALUE($F$22)&gt;499,$F$14="NO"),0,"552099..552199")</f>
        <v>0</v>
      </c>
      <c r="F54" s="300"/>
      <c r="K54" s="278"/>
      <c r="L54" s="275"/>
      <c r="M54" s="275"/>
      <c r="O54" s="283"/>
      <c r="P54" s="283"/>
      <c r="Q54" s="356"/>
      <c r="R54" s="334" t="s">
        <v>335</v>
      </c>
      <c r="S54" s="338"/>
      <c r="T54" s="339"/>
      <c r="U54" s="338"/>
      <c r="V54" s="339"/>
      <c r="W54" s="338"/>
      <c r="X54" s="339"/>
      <c r="Y54" s="338"/>
      <c r="Z54" s="339"/>
      <c r="AA54" s="338"/>
      <c r="AB54" s="350"/>
      <c r="AC54" s="351"/>
      <c r="AD54" s="350"/>
      <c r="AE54" s="386"/>
      <c r="AF54" s="350"/>
      <c r="AG54" s="386"/>
      <c r="AH54" s="350"/>
      <c r="AI54" s="386"/>
      <c r="AJ54" s="350"/>
      <c r="AK54" s="386"/>
      <c r="AL54" s="415"/>
      <c r="AM54" s="350"/>
      <c r="AN54" s="350"/>
      <c r="AO54" s="350"/>
      <c r="AP54" s="350"/>
      <c r="AQ54" s="339"/>
      <c r="AR54" s="308"/>
      <c r="AS54" s="743"/>
    </row>
    <row r="55" spans="1:59" ht="0.95" hidden="1" customHeight="1">
      <c r="B55" s="274" t="s">
        <v>31</v>
      </c>
      <c r="E55" s="347"/>
      <c r="K55" s="278"/>
      <c r="L55" s="275"/>
      <c r="M55" s="275"/>
      <c r="O55" s="283"/>
      <c r="P55" s="283"/>
      <c r="Q55" s="356"/>
      <c r="R55" s="338"/>
      <c r="S55" s="338"/>
      <c r="T55" s="339"/>
      <c r="U55" s="338"/>
      <c r="V55" s="339"/>
      <c r="W55" s="338"/>
      <c r="X55" s="339"/>
      <c r="Y55" s="338"/>
      <c r="Z55" s="339"/>
      <c r="AA55" s="338"/>
      <c r="AB55" s="350"/>
      <c r="AC55" s="351"/>
      <c r="AD55" s="350"/>
      <c r="AE55" s="386"/>
      <c r="AF55" s="350"/>
      <c r="AG55" s="386"/>
      <c r="AH55" s="350"/>
      <c r="AI55" s="386"/>
      <c r="AJ55" s="350"/>
      <c r="AK55" s="386"/>
      <c r="AL55" s="415"/>
      <c r="AM55" s="350"/>
      <c r="AN55" s="350"/>
      <c r="AO55" s="350"/>
      <c r="AP55" s="350"/>
      <c r="AQ55" s="339"/>
      <c r="AR55" s="308"/>
      <c r="AS55" s="743"/>
    </row>
    <row r="56" spans="1:59" ht="15.6" hidden="1" customHeight="1">
      <c r="A56" s="271" t="s">
        <v>236</v>
      </c>
      <c r="B56" s="271" t="str">
        <f>IF(AQ56=0,"Hide","Show")</f>
        <v>Hide</v>
      </c>
      <c r="E56" s="347"/>
      <c r="K56" s="337"/>
      <c r="L56" s="275" t="str">
        <f>$F$22</f>
        <v>204</v>
      </c>
      <c r="M56" s="275" t="str">
        <f>$J$7</f>
        <v>10/1/2016..9/30/2017</v>
      </c>
      <c r="N56" s="274" t="str">
        <f>$D$6</f>
        <v>HARMONY CDD</v>
      </c>
      <c r="O56" s="387" t="str">
        <f>IF(K56="","500000 50000",K56&amp;" "&amp;"50000")</f>
        <v>500000 50000</v>
      </c>
      <c r="P56" s="275">
        <f>K56</f>
        <v>0</v>
      </c>
      <c r="Q56" s="356"/>
      <c r="R56" s="338"/>
      <c r="S56" s="338"/>
      <c r="T56" s="388">
        <v>0</v>
      </c>
      <c r="U56" s="389"/>
      <c r="V56" s="388">
        <v>0</v>
      </c>
      <c r="W56" s="389"/>
      <c r="X56" s="388">
        <v>0</v>
      </c>
      <c r="Y56" s="389"/>
      <c r="Z56" s="388">
        <v>0</v>
      </c>
      <c r="AA56" s="389"/>
      <c r="AB56" s="354">
        <v>0</v>
      </c>
      <c r="AC56" s="390"/>
      <c r="AD56" s="354">
        <v>0</v>
      </c>
      <c r="AE56" s="354"/>
      <c r="AF56" s="354">
        <v>0</v>
      </c>
      <c r="AG56" s="354"/>
      <c r="AH56" s="354">
        <v>0</v>
      </c>
      <c r="AI56" s="354"/>
      <c r="AJ56" s="391">
        <v>0</v>
      </c>
      <c r="AK56" s="354"/>
      <c r="AL56" s="415">
        <f>IF(ISERROR(AH56+AJ56),0,(AH56+AJ56))</f>
        <v>0</v>
      </c>
      <c r="AM56" s="354"/>
      <c r="AN56" s="354">
        <v>0</v>
      </c>
      <c r="AO56" s="354"/>
      <c r="AP56" s="391">
        <f>IF($F$13="YES",AF56,AN56)</f>
        <v>0</v>
      </c>
      <c r="AQ56" s="344">
        <f>ABS(SUMIF(V56:AP56,"&gt;0")-SUMIF(V56:AP56,"&lt;0"))</f>
        <v>0</v>
      </c>
      <c r="AR56" s="308"/>
      <c r="AS56" s="742"/>
    </row>
    <row r="57" spans="1:59" ht="3.95" hidden="1" customHeight="1">
      <c r="B57" s="274" t="s">
        <v>31</v>
      </c>
      <c r="E57" s="347"/>
      <c r="K57" s="278"/>
      <c r="L57" s="275"/>
      <c r="M57" s="275"/>
      <c r="O57" s="283"/>
      <c r="P57" s="283"/>
      <c r="Q57" s="356"/>
      <c r="R57" s="338"/>
      <c r="S57" s="338"/>
      <c r="T57" s="339"/>
      <c r="U57" s="338"/>
      <c r="V57" s="339"/>
      <c r="W57" s="338"/>
      <c r="X57" s="339"/>
      <c r="Y57" s="338"/>
      <c r="Z57" s="339"/>
      <c r="AA57" s="338"/>
      <c r="AB57" s="350"/>
      <c r="AC57" s="351"/>
      <c r="AD57" s="350"/>
      <c r="AE57" s="386"/>
      <c r="AF57" s="350"/>
      <c r="AG57" s="386"/>
      <c r="AH57" s="350"/>
      <c r="AI57" s="386"/>
      <c r="AJ57" s="350"/>
      <c r="AK57" s="386"/>
      <c r="AL57" s="415"/>
      <c r="AM57" s="350"/>
      <c r="AN57" s="350"/>
      <c r="AO57" s="350"/>
      <c r="AP57" s="350"/>
      <c r="AQ57" s="339"/>
      <c r="AR57" s="308"/>
      <c r="AS57" s="743"/>
    </row>
    <row r="58" spans="1:59" ht="15.6" hidden="1" customHeight="1">
      <c r="B58" s="271" t="str">
        <f>IF(AQ58=0,"Hide","Show")</f>
        <v>Hide</v>
      </c>
      <c r="E58" s="347"/>
      <c r="K58" s="278"/>
      <c r="L58" s="275"/>
      <c r="M58" s="275"/>
      <c r="O58" s="283"/>
      <c r="P58" s="283"/>
      <c r="Q58" s="356"/>
      <c r="R58" s="392" t="str">
        <f>IF(AND($F$22&gt;"399",$F$22&lt;"500",$F$14="yes"),"Total Cost of Goods Sold","")</f>
        <v/>
      </c>
      <c r="S58" s="338"/>
      <c r="T58" s="393">
        <f>SUM(T55:T57)</f>
        <v>0</v>
      </c>
      <c r="U58" s="338"/>
      <c r="V58" s="393">
        <f>SUM(V55:V57)</f>
        <v>0</v>
      </c>
      <c r="W58" s="338"/>
      <c r="X58" s="393">
        <f>SUM(X55:X57)</f>
        <v>0</v>
      </c>
      <c r="Y58" s="338"/>
      <c r="Z58" s="393">
        <f>SUM(Z55:Z57)</f>
        <v>0</v>
      </c>
      <c r="AA58" s="338"/>
      <c r="AB58" s="394">
        <f>SUM(AB55:AB57)</f>
        <v>0</v>
      </c>
      <c r="AC58" s="351"/>
      <c r="AD58" s="394">
        <f>SUM(AD55:AD57)</f>
        <v>0</v>
      </c>
      <c r="AE58" s="386"/>
      <c r="AF58" s="394">
        <f>SUM(AF55:AF57)</f>
        <v>0</v>
      </c>
      <c r="AG58" s="386"/>
      <c r="AH58" s="394">
        <f>SUM(AH55:AH57)</f>
        <v>0</v>
      </c>
      <c r="AI58" s="386"/>
      <c r="AJ58" s="394">
        <f>SUM(AJ55:AJ57)</f>
        <v>0</v>
      </c>
      <c r="AK58" s="386"/>
      <c r="AL58" s="418">
        <f>SUM(AL55:AL57)</f>
        <v>0</v>
      </c>
      <c r="AM58" s="350"/>
      <c r="AN58" s="394">
        <f>SUM(AN55:AN57)</f>
        <v>0</v>
      </c>
      <c r="AO58" s="350"/>
      <c r="AP58" s="394">
        <f>SUM(AP55:AP57)</f>
        <v>0</v>
      </c>
      <c r="AQ58" s="344">
        <f>ABS(SUMIF(V58:AP58,"&gt;0")-SUMIF(V58:AP58,"&lt;0"))</f>
        <v>0</v>
      </c>
      <c r="AR58" s="308"/>
      <c r="AS58" s="743"/>
    </row>
    <row r="59" spans="1:59" ht="8.1" hidden="1" customHeight="1">
      <c r="B59" s="274" t="str">
        <f t="shared" ref="B59:B61" si="16">B58</f>
        <v>Hide</v>
      </c>
      <c r="E59" s="347"/>
      <c r="K59" s="278"/>
      <c r="L59" s="275"/>
      <c r="M59" s="275"/>
      <c r="O59" s="283"/>
      <c r="P59" s="283"/>
      <c r="Q59" s="356"/>
      <c r="R59" s="338"/>
      <c r="S59" s="338"/>
      <c r="T59" s="339"/>
      <c r="U59" s="338"/>
      <c r="V59" s="339"/>
      <c r="W59" s="338"/>
      <c r="X59" s="339"/>
      <c r="Y59" s="338"/>
      <c r="Z59" s="339"/>
      <c r="AA59" s="338"/>
      <c r="AB59" s="350"/>
      <c r="AC59" s="351"/>
      <c r="AD59" s="350"/>
      <c r="AE59" s="386"/>
      <c r="AF59" s="350"/>
      <c r="AG59" s="386"/>
      <c r="AH59" s="350"/>
      <c r="AI59" s="386"/>
      <c r="AJ59" s="350"/>
      <c r="AK59" s="386"/>
      <c r="AL59" s="415"/>
      <c r="AM59" s="350"/>
      <c r="AN59" s="350"/>
      <c r="AO59" s="350"/>
      <c r="AP59" s="350"/>
      <c r="AQ59" s="339"/>
      <c r="AR59" s="308"/>
      <c r="AS59" s="743"/>
    </row>
    <row r="60" spans="1:59" ht="15.95" hidden="1" customHeight="1">
      <c r="B60" s="274" t="str">
        <f t="shared" si="16"/>
        <v>Hide</v>
      </c>
      <c r="E60" s="347"/>
      <c r="K60" s="278"/>
      <c r="L60" s="275"/>
      <c r="M60" s="275"/>
      <c r="O60" s="283"/>
      <c r="P60" s="283"/>
      <c r="Q60" s="356"/>
      <c r="R60" s="368" t="str">
        <f>IF(AND($F$22&gt;"399",$F$22&lt;"500",$F$14="yes"),"GROSS PROFIT","")</f>
        <v/>
      </c>
      <c r="S60" s="369"/>
      <c r="T60" s="370">
        <f>IF(OR(VALUE($F$22)&lt;=399,VALUE($F$22)&gt;499,$F$14="NO"),0,T52-T58)</f>
        <v>0</v>
      </c>
      <c r="U60" s="369"/>
      <c r="V60" s="370">
        <f>IF(OR(VALUE($F$22)&lt;=399,VALUE($F$22)&gt;499,$F$14="NO"),0,V52-V58)</f>
        <v>0</v>
      </c>
      <c r="W60" s="371"/>
      <c r="X60" s="370">
        <f>IF(OR(VALUE($F$22)&lt;=399,VALUE($F$22)&gt;499,$F$14="NO"),0,X52-X58)</f>
        <v>0</v>
      </c>
      <c r="Y60" s="371"/>
      <c r="Z60" s="370">
        <f>IF(OR(VALUE($F$22)&lt;=399,VALUE($F$22)&gt;499,$F$14="NO"),0,Z52-Z58)</f>
        <v>0</v>
      </c>
      <c r="AA60" s="371"/>
      <c r="AB60" s="372">
        <f>IF(OR(VALUE($F$22)&lt;=399,VALUE($F$22)&gt;499,$F$14="NO"),0,AB52-AB58)</f>
        <v>0</v>
      </c>
      <c r="AC60" s="373"/>
      <c r="AD60" s="372">
        <f>IF(OR(VALUE($F$22)&lt;=399,VALUE($F$22)&gt;499,$F$14="NO"),0,AD52-AD58)</f>
        <v>0</v>
      </c>
      <c r="AE60" s="374"/>
      <c r="AF60" s="372">
        <f>IF(OR(VALUE($F$22)&lt;=399,VALUE($F$22)&gt;499,$F$14="NO"),0,AF52-AF58)</f>
        <v>0</v>
      </c>
      <c r="AG60" s="374"/>
      <c r="AH60" s="372">
        <f>IF(OR(VALUE($F$22)&lt;=399,VALUE($F$22)&gt;499,$F$14="NO"),0,AH52-AH58)</f>
        <v>0</v>
      </c>
      <c r="AI60" s="374"/>
      <c r="AJ60" s="372">
        <f>IF(OR(VALUE($F$22)&lt;=399,VALUE($F$22)&gt;499,$F$14="NO"),0,AJ52-AJ58)</f>
        <v>0</v>
      </c>
      <c r="AK60" s="374"/>
      <c r="AL60" s="432">
        <f>IF(OR(VALUE($F$22)&lt;=399,VALUE($F$22)&gt;499,$F$14="NO"),0,AL52-AL58)</f>
        <v>0</v>
      </c>
      <c r="AM60" s="372"/>
      <c r="AN60" s="372">
        <f>IF(OR(VALUE($F$22)&lt;=399,VALUE($F$22)&gt;499,$F$14="NO"),0,AN52-AN58)</f>
        <v>0</v>
      </c>
      <c r="AO60" s="372"/>
      <c r="AP60" s="375">
        <f>IF(OR(VALUE($F$22)&lt;=399,VALUE($F$22)&gt;499,$F$14="NO"),0,AP52-AP58)</f>
        <v>0</v>
      </c>
      <c r="AQ60" s="344">
        <f>ABS(SUMIF(V60:AP60,"&gt;0")-SUMIF(V60:AP60,"&lt;0"))</f>
        <v>0</v>
      </c>
      <c r="AR60" s="308"/>
      <c r="AS60" s="743"/>
    </row>
    <row r="61" spans="1:59" ht="15.95" hidden="1" customHeight="1">
      <c r="B61" s="274" t="str">
        <f t="shared" si="16"/>
        <v>Hide</v>
      </c>
      <c r="E61" s="347"/>
      <c r="K61" s="278"/>
      <c r="L61" s="275"/>
      <c r="M61" s="275"/>
      <c r="O61" s="283"/>
      <c r="P61" s="283"/>
      <c r="Q61" s="356"/>
      <c r="R61" s="338"/>
      <c r="S61" s="338"/>
      <c r="T61" s="339"/>
      <c r="U61" s="338"/>
      <c r="V61" s="339"/>
      <c r="W61" s="338"/>
      <c r="X61" s="339"/>
      <c r="Y61" s="338"/>
      <c r="Z61" s="339"/>
      <c r="AA61" s="338"/>
      <c r="AB61" s="350"/>
      <c r="AC61" s="351"/>
      <c r="AD61" s="350"/>
      <c r="AE61" s="386"/>
      <c r="AF61" s="350"/>
      <c r="AG61" s="386"/>
      <c r="AH61" s="350"/>
      <c r="AI61" s="386"/>
      <c r="AJ61" s="350"/>
      <c r="AK61" s="386"/>
      <c r="AL61" s="415"/>
      <c r="AM61" s="350"/>
      <c r="AN61" s="350"/>
      <c r="AO61" s="350"/>
      <c r="AP61" s="350"/>
      <c r="AQ61" s="339"/>
      <c r="AR61" s="308"/>
      <c r="AS61" s="743"/>
    </row>
    <row r="62" spans="1:59" ht="15" customHeight="1">
      <c r="B62" s="274" t="s">
        <v>62</v>
      </c>
      <c r="E62" s="347"/>
      <c r="K62" s="278"/>
      <c r="L62" s="275"/>
      <c r="M62" s="275"/>
      <c r="O62" s="283"/>
      <c r="P62" s="283"/>
      <c r="Q62" s="356"/>
      <c r="R62" s="334" t="str">
        <f>IF(AND($F$22&gt;"399",$F$22&lt;"500"),"OPERATING EXPENSES","EXPENDITURES")</f>
        <v>EXPENDITURES</v>
      </c>
      <c r="S62" s="338"/>
      <c r="T62" s="339"/>
      <c r="U62" s="338"/>
      <c r="V62" s="339"/>
      <c r="W62" s="338"/>
      <c r="X62" s="339"/>
      <c r="Y62" s="338"/>
      <c r="Z62" s="339"/>
      <c r="AA62" s="338"/>
      <c r="AB62" s="350"/>
      <c r="AC62" s="351"/>
      <c r="AD62" s="350"/>
      <c r="AE62" s="352"/>
      <c r="AF62" s="350"/>
      <c r="AG62" s="352"/>
      <c r="AH62" s="350"/>
      <c r="AI62" s="352"/>
      <c r="AJ62" s="350"/>
      <c r="AK62" s="352"/>
      <c r="AL62" s="350"/>
      <c r="AM62" s="350"/>
      <c r="AN62" s="350"/>
      <c r="AO62" s="350"/>
      <c r="AP62" s="350"/>
      <c r="AQ62" s="358"/>
      <c r="AR62" s="308"/>
      <c r="AS62" s="743"/>
      <c r="BG62" s="744"/>
    </row>
    <row r="63" spans="1:59" ht="3.95" customHeight="1">
      <c r="B63" s="274" t="s">
        <v>62</v>
      </c>
      <c r="E63" s="347"/>
      <c r="K63" s="278"/>
      <c r="L63" s="275"/>
      <c r="M63" s="275"/>
      <c r="O63" s="283"/>
      <c r="P63" s="283"/>
      <c r="Q63" s="356"/>
      <c r="R63" s="334"/>
      <c r="S63" s="338"/>
      <c r="T63" s="339"/>
      <c r="U63" s="338"/>
      <c r="V63" s="339"/>
      <c r="W63" s="338"/>
      <c r="X63" s="339"/>
      <c r="Y63" s="338"/>
      <c r="Z63" s="339"/>
      <c r="AA63" s="338"/>
      <c r="AB63" s="350"/>
      <c r="AC63" s="351"/>
      <c r="AD63" s="350"/>
      <c r="AE63" s="352"/>
      <c r="AF63" s="350"/>
      <c r="AG63" s="352"/>
      <c r="AH63" s="350"/>
      <c r="AI63" s="352"/>
      <c r="AJ63" s="350"/>
      <c r="AK63" s="352"/>
      <c r="AL63" s="350"/>
      <c r="AM63" s="350"/>
      <c r="AN63" s="350"/>
      <c r="AO63" s="350"/>
      <c r="AP63" s="350"/>
      <c r="AQ63" s="358"/>
      <c r="AR63" s="308"/>
      <c r="AS63" s="743"/>
    </row>
    <row r="64" spans="1:59" ht="15" customHeight="1">
      <c r="B64" s="274" t="str">
        <f>B68</f>
        <v>Show</v>
      </c>
      <c r="E64" s="347"/>
      <c r="F64" s="347"/>
      <c r="G64" s="347"/>
      <c r="K64" s="278"/>
      <c r="L64" s="275"/>
      <c r="M64" s="275"/>
      <c r="O64" s="283"/>
      <c r="P64" s="283"/>
      <c r="Q64" s="356"/>
      <c r="R64" s="395" t="str">
        <f>IF(AND($F$22&gt;"399",$F$22&lt;"500"),"Personnel and Administration","Administrative")</f>
        <v>Administrative</v>
      </c>
      <c r="S64" s="338"/>
      <c r="T64" s="339"/>
      <c r="U64" s="338"/>
      <c r="V64" s="339"/>
      <c r="W64" s="338"/>
      <c r="X64" s="339"/>
      <c r="Y64" s="338"/>
      <c r="Z64" s="339"/>
      <c r="AA64" s="338"/>
      <c r="AB64" s="350"/>
      <c r="AC64" s="351"/>
      <c r="AD64" s="350"/>
      <c r="AE64" s="352"/>
      <c r="AF64" s="350"/>
      <c r="AG64" s="352"/>
      <c r="AH64" s="350"/>
      <c r="AI64" s="352"/>
      <c r="AJ64" s="350"/>
      <c r="AK64" s="352"/>
      <c r="AL64" s="350"/>
      <c r="AM64" s="350"/>
      <c r="AN64" s="350"/>
      <c r="AO64" s="350"/>
      <c r="AP64" s="350"/>
      <c r="AQ64" s="358"/>
      <c r="AR64" s="308"/>
      <c r="AS64" s="745"/>
      <c r="BG64" s="746"/>
    </row>
    <row r="65" spans="1:58" ht="15.95" hidden="1" customHeight="1">
      <c r="B65" s="271" t="s">
        <v>31</v>
      </c>
      <c r="E65" s="336" t="str">
        <f>IF($F$22=0,0,IF(OR($F$14="No",VALUE($F$22)&lt;=399,VALUE($F$22)&gt;499),"500000..564999|566000..579999","500000..552098|552200..564999|566000..579999"))</f>
        <v>500000..564999|566000..579999</v>
      </c>
      <c r="F65" s="336"/>
      <c r="G65" s="347"/>
      <c r="H65" s="360" t="s">
        <v>336</v>
      </c>
      <c r="K65" s="278"/>
      <c r="L65" s="275"/>
      <c r="M65" s="275"/>
      <c r="O65" s="283"/>
      <c r="P65" s="283"/>
      <c r="Q65" s="356"/>
      <c r="R65" s="396"/>
      <c r="S65" s="338"/>
      <c r="T65" s="339"/>
      <c r="U65" s="338"/>
      <c r="V65" s="339"/>
      <c r="W65" s="338"/>
      <c r="X65" s="339"/>
      <c r="Y65" s="338"/>
      <c r="Z65" s="339"/>
      <c r="AA65" s="338"/>
      <c r="AB65" s="350"/>
      <c r="AC65" s="351"/>
      <c r="AD65" s="350"/>
      <c r="AE65" s="352"/>
      <c r="AF65" s="350"/>
      <c r="AG65" s="352"/>
      <c r="AH65" s="350"/>
      <c r="AI65" s="352"/>
      <c r="AJ65" s="350"/>
      <c r="AK65" s="352"/>
      <c r="AL65" s="350"/>
      <c r="AM65" s="350"/>
      <c r="AN65" s="350"/>
      <c r="AO65" s="350"/>
      <c r="AP65" s="350"/>
      <c r="AQ65" s="358"/>
      <c r="AR65" s="308"/>
      <c r="AS65" s="743"/>
    </row>
    <row r="66" spans="1:58" ht="15.6" customHeight="1">
      <c r="A66" s="271" t="s">
        <v>236</v>
      </c>
      <c r="B66" s="271" t="str">
        <f>IF(AQ66=0,"Hide","Show")</f>
        <v>Show</v>
      </c>
      <c r="K66" s="337" t="s">
        <v>485</v>
      </c>
      <c r="L66" s="275" t="str">
        <f>$F$22</f>
        <v>204</v>
      </c>
      <c r="M66" s="275" t="str">
        <f>$J$7</f>
        <v>10/1/2016..9/30/2017</v>
      </c>
      <c r="N66" s="274" t="str">
        <f>$D$6</f>
        <v>HARMONY CDD</v>
      </c>
      <c r="O66" s="387" t="str">
        <f>IF(K66="","500000 51699",K66&amp;" "&amp;"51699")</f>
        <v>549070 51699</v>
      </c>
      <c r="P66" s="283" t="str">
        <f>K66</f>
        <v>549070</v>
      </c>
      <c r="Q66" s="283"/>
      <c r="R66" s="389" t="s">
        <v>358</v>
      </c>
      <c r="S66" s="389"/>
      <c r="T66" s="388">
        <v>0</v>
      </c>
      <c r="U66" s="338"/>
      <c r="V66" s="388">
        <v>0</v>
      </c>
      <c r="W66" s="338"/>
      <c r="X66" s="388">
        <v>0</v>
      </c>
      <c r="Y66" s="338"/>
      <c r="Z66" s="388">
        <v>0</v>
      </c>
      <c r="AA66" s="338"/>
      <c r="AB66" s="354">
        <v>0</v>
      </c>
      <c r="AC66" s="351"/>
      <c r="AD66" s="354">
        <v>0</v>
      </c>
      <c r="AE66" s="354"/>
      <c r="AF66" s="354">
        <v>1083</v>
      </c>
      <c r="AG66" s="354"/>
      <c r="AH66" s="354">
        <v>1083</v>
      </c>
      <c r="AI66" s="354"/>
      <c r="AJ66" s="391">
        <f>+AJ39*0.02</f>
        <v>0</v>
      </c>
      <c r="AK66" s="354"/>
      <c r="AL66" s="350">
        <f>IF(ISERROR(AH66+AJ66),0,(AH66+AJ66))</f>
        <v>1083</v>
      </c>
      <c r="AM66" s="354"/>
      <c r="AN66" s="354">
        <v>0</v>
      </c>
      <c r="AO66" s="354"/>
      <c r="AP66" s="391">
        <f>ROUND(+AP39*0.02,0)</f>
        <v>7207</v>
      </c>
      <c r="AQ66" s="344">
        <f>ABS(SUMIF(V66:AP66,"&gt;0")-SUMIF(V66:AP66,"&lt;0"))</f>
        <v>10456</v>
      </c>
      <c r="AR66" s="397"/>
      <c r="AS66" s="742"/>
      <c r="AV66" s="346"/>
    </row>
    <row r="67" spans="1:58" ht="3.95" customHeight="1">
      <c r="B67" s="274" t="str">
        <f>B68</f>
        <v>Show</v>
      </c>
      <c r="N67" s="274"/>
      <c r="Q67" s="320"/>
      <c r="R67" s="308"/>
      <c r="S67" s="308"/>
      <c r="T67" s="401"/>
      <c r="U67" s="308"/>
      <c r="V67" s="401"/>
      <c r="W67" s="308"/>
      <c r="X67" s="401"/>
      <c r="Y67" s="308"/>
      <c r="Z67" s="401"/>
      <c r="AA67" s="308"/>
      <c r="AB67" s="383"/>
      <c r="AC67" s="402"/>
      <c r="AD67" s="383"/>
      <c r="AE67" s="402"/>
      <c r="AF67" s="383"/>
      <c r="AG67" s="402"/>
      <c r="AH67" s="383"/>
      <c r="AI67" s="402"/>
      <c r="AJ67" s="383"/>
      <c r="AK67" s="402"/>
      <c r="AL67" s="383"/>
      <c r="AM67" s="402"/>
      <c r="AN67" s="383"/>
      <c r="AO67" s="383"/>
      <c r="AP67" s="383"/>
      <c r="AQ67" s="401"/>
      <c r="AR67" s="308"/>
      <c r="AS67" s="420"/>
    </row>
    <row r="68" spans="1:58" ht="15" customHeight="1">
      <c r="B68" s="271" t="str">
        <f>IF(AQ68=0,"Hide","Show")</f>
        <v>Show</v>
      </c>
      <c r="N68" s="274"/>
      <c r="R68" s="392" t="str">
        <f>"Total "&amp;R64</f>
        <v>Total Administrative</v>
      </c>
      <c r="S68" s="330"/>
      <c r="T68" s="393">
        <f>SUM(T66:T67)</f>
        <v>0</v>
      </c>
      <c r="U68" s="404"/>
      <c r="V68" s="393">
        <f>SUM(V66:V67)</f>
        <v>0</v>
      </c>
      <c r="W68" s="404"/>
      <c r="X68" s="393">
        <f>SUM(X66:X67)</f>
        <v>0</v>
      </c>
      <c r="Y68" s="404"/>
      <c r="Z68" s="393">
        <f>SUM(Z66:Z67)</f>
        <v>0</v>
      </c>
      <c r="AA68" s="404"/>
      <c r="AB68" s="394">
        <f>SUM(AB66:AB67)</f>
        <v>0</v>
      </c>
      <c r="AC68" s="405"/>
      <c r="AD68" s="394">
        <f>SUM(AD66:AD67)</f>
        <v>0</v>
      </c>
      <c r="AE68" s="386"/>
      <c r="AF68" s="394">
        <f>SUM(AF66:AF67)</f>
        <v>1083</v>
      </c>
      <c r="AG68" s="405"/>
      <c r="AH68" s="394">
        <f>SUM(AH66:AH67)</f>
        <v>1083</v>
      </c>
      <c r="AI68" s="405"/>
      <c r="AJ68" s="394">
        <f>SUM(AJ66:AJ67)</f>
        <v>0</v>
      </c>
      <c r="AK68" s="405"/>
      <c r="AL68" s="394">
        <f>SUM(AL66:AL67)</f>
        <v>1083</v>
      </c>
      <c r="AM68" s="405"/>
      <c r="AN68" s="394">
        <f>SUM(AN66:AN67)</f>
        <v>0</v>
      </c>
      <c r="AO68" s="405"/>
      <c r="AP68" s="394">
        <f>SUM(AP66:AP67)</f>
        <v>7207</v>
      </c>
      <c r="AQ68" s="344">
        <f>ABS(SUMIF(V68:AP68,"&gt;0")-SUMIF(V68:AP68,"&lt;0"))</f>
        <v>10456</v>
      </c>
      <c r="AR68" s="308"/>
      <c r="AS68" s="420"/>
    </row>
    <row r="69" spans="1:58" ht="9.9499999999999993" customHeight="1">
      <c r="B69" s="274" t="str">
        <f>B68</f>
        <v>Show</v>
      </c>
      <c r="N69" s="274"/>
      <c r="R69" s="308"/>
      <c r="S69" s="308"/>
      <c r="T69" s="308"/>
      <c r="U69" s="308"/>
      <c r="V69" s="308"/>
      <c r="W69" s="308"/>
      <c r="X69" s="308"/>
      <c r="Y69" s="308"/>
      <c r="Z69" s="308"/>
      <c r="AA69" s="308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383"/>
      <c r="AP69" s="402"/>
      <c r="AQ69" s="308"/>
      <c r="AR69" s="308"/>
      <c r="AS69" s="420"/>
    </row>
    <row r="70" spans="1:58" hidden="1">
      <c r="B70" s="271" t="s">
        <v>31</v>
      </c>
      <c r="E70" s="336" t="str">
        <f>IF($F$22=0,0,IF(OR($F$14="No",VALUE($F$22)&lt;=399,VALUE($F$22)&gt;499),"500000..564999|566000..579999","500000..552098|552200..564999|566000..579999"))</f>
        <v>500000..564999|566000..579999</v>
      </c>
      <c r="F70" s="300"/>
      <c r="H70" s="360" t="s">
        <v>364</v>
      </c>
      <c r="N70" s="274"/>
      <c r="R70" s="308"/>
      <c r="S70" s="308"/>
      <c r="T70" s="308"/>
      <c r="U70" s="308"/>
      <c r="V70" s="308"/>
      <c r="W70" s="308"/>
      <c r="X70" s="308"/>
      <c r="Y70" s="308"/>
      <c r="Z70" s="308"/>
      <c r="AA70" s="308"/>
      <c r="AB70" s="402"/>
      <c r="AC70" s="402"/>
      <c r="AD70" s="402"/>
      <c r="AE70" s="402"/>
      <c r="AF70" s="402"/>
      <c r="AG70" s="402"/>
      <c r="AH70" s="402">
        <f>$Z$158+$Z$159</f>
        <v>0</v>
      </c>
      <c r="AI70" s="402"/>
      <c r="AJ70" s="402"/>
      <c r="AK70" s="402"/>
      <c r="AL70" s="402"/>
      <c r="AM70" s="402"/>
      <c r="AN70" s="402"/>
      <c r="AO70" s="383"/>
      <c r="AP70" s="402"/>
      <c r="AQ70" s="308"/>
      <c r="AR70" s="308"/>
      <c r="AS70" s="420"/>
    </row>
    <row r="71" spans="1:58" hidden="1">
      <c r="B71" s="271" t="s">
        <v>31</v>
      </c>
      <c r="N71" s="274"/>
      <c r="R71" s="308"/>
      <c r="S71" s="308"/>
      <c r="T71" s="308"/>
      <c r="U71" s="308"/>
      <c r="V71" s="308"/>
      <c r="W71" s="308"/>
      <c r="X71" s="308"/>
      <c r="Y71" s="308"/>
      <c r="Z71" s="308"/>
      <c r="AA71" s="308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383"/>
      <c r="AP71" s="402"/>
      <c r="AQ71" s="308"/>
      <c r="AR71" s="308"/>
      <c r="AS71" s="420"/>
    </row>
    <row r="72" spans="1:58" hidden="1">
      <c r="B72" s="271" t="s">
        <v>31</v>
      </c>
      <c r="H72" s="272" t="s">
        <v>365</v>
      </c>
      <c r="I72" s="412" t="s">
        <v>555</v>
      </c>
      <c r="N72" s="274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383"/>
      <c r="AP72" s="402"/>
      <c r="AQ72" s="308"/>
      <c r="AR72" s="308"/>
      <c r="AS72" s="420"/>
    </row>
    <row r="73" spans="1:58" ht="15" hidden="1" customHeight="1">
      <c r="B73" s="271" t="str">
        <f>IF(AQ76=0,"Hide","Show")</f>
        <v>Hide</v>
      </c>
      <c r="I73" s="413" t="str">
        <f t="shared" ref="I73:I77" si="17">I72</f>
        <v>53910</v>
      </c>
      <c r="N73" s="274"/>
      <c r="R73" s="414" t="s">
        <v>408</v>
      </c>
      <c r="S73" s="308"/>
      <c r="T73" s="308"/>
      <c r="U73" s="308"/>
      <c r="V73" s="308"/>
      <c r="W73" s="308"/>
      <c r="X73" s="308"/>
      <c r="Y73" s="308"/>
      <c r="Z73" s="308"/>
      <c r="AA73" s="308"/>
      <c r="AB73" s="402"/>
      <c r="AC73" s="402"/>
      <c r="AD73" s="402"/>
      <c r="AE73" s="402"/>
      <c r="AF73" s="402"/>
      <c r="AG73" s="402"/>
      <c r="AH73" s="402"/>
      <c r="AI73" s="402"/>
      <c r="AJ73" s="402"/>
      <c r="AK73" s="402"/>
      <c r="AL73" s="402"/>
      <c r="AM73" s="402"/>
      <c r="AN73" s="402"/>
      <c r="AO73" s="383"/>
      <c r="AP73" s="402"/>
      <c r="AQ73" s="308"/>
      <c r="AR73" s="308"/>
      <c r="AS73" s="420"/>
      <c r="AU73" s="362" t="s">
        <v>301</v>
      </c>
      <c r="AV73" s="362" t="str">
        <f>$V$33</f>
        <v>FY 2012</v>
      </c>
      <c r="AW73" s="362" t="str">
        <f>$X$33</f>
        <v>FY 2013</v>
      </c>
      <c r="AX73" s="362" t="str">
        <f>$Z$33</f>
        <v>FY 2014</v>
      </c>
      <c r="AY73" s="362" t="str">
        <f>$AB$33</f>
        <v>FY - 2015</v>
      </c>
      <c r="AZ73" s="362" t="s">
        <v>327</v>
      </c>
      <c r="BA73" s="362" t="s">
        <v>328</v>
      </c>
      <c r="BB73" s="362" t="s">
        <v>329</v>
      </c>
      <c r="BC73" s="362" t="s">
        <v>330</v>
      </c>
      <c r="BD73" s="362" t="s">
        <v>289</v>
      </c>
      <c r="BE73" s="362" t="s">
        <v>331</v>
      </c>
      <c r="BF73" s="362" t="s">
        <v>332</v>
      </c>
    </row>
    <row r="74" spans="1:58" ht="15.6" hidden="1" customHeight="1">
      <c r="A74" s="271" t="s">
        <v>236</v>
      </c>
      <c r="B74" s="271" t="str">
        <f>IF(AQ74=0,"Hide","Show")</f>
        <v>Hide</v>
      </c>
      <c r="I74" s="413" t="str">
        <f t="shared" si="17"/>
        <v>53910</v>
      </c>
      <c r="K74" s="337" t="s">
        <v>556</v>
      </c>
      <c r="L74" s="275" t="str">
        <f>$F$22</f>
        <v>204</v>
      </c>
      <c r="M74" s="275" t="str">
        <f>$J$7</f>
        <v>10/1/2016..9/30/2017</v>
      </c>
      <c r="N74" s="274" t="str">
        <f>$D$6</f>
        <v>HARMONY CDD</v>
      </c>
      <c r="O74" s="387" t="str">
        <f>IF(I74="","500000 51800",K74&amp;" "&amp;I74)</f>
        <v>549900 53910</v>
      </c>
      <c r="P74" s="283" t="str">
        <f>K74</f>
        <v>549900</v>
      </c>
      <c r="R74" s="389" t="s">
        <v>359</v>
      </c>
      <c r="S74" s="308"/>
      <c r="T74" s="388">
        <v>0</v>
      </c>
      <c r="U74" s="401"/>
      <c r="V74" s="388">
        <v>0</v>
      </c>
      <c r="W74" s="338"/>
      <c r="X74" s="388">
        <v>0</v>
      </c>
      <c r="Y74" s="338"/>
      <c r="Z74" s="388">
        <v>0</v>
      </c>
      <c r="AA74" s="338"/>
      <c r="AB74" s="354">
        <v>0</v>
      </c>
      <c r="AC74" s="351"/>
      <c r="AD74" s="354">
        <v>0</v>
      </c>
      <c r="AE74" s="354"/>
      <c r="AF74" s="354">
        <v>0</v>
      </c>
      <c r="AG74" s="354"/>
      <c r="AH74" s="354">
        <v>0</v>
      </c>
      <c r="AI74" s="354"/>
      <c r="AJ74" s="391">
        <v>0</v>
      </c>
      <c r="AK74" s="354"/>
      <c r="AL74" s="350">
        <f>IF(ISERROR(AH74+AJ74),0,(AH74+AJ74))</f>
        <v>0</v>
      </c>
      <c r="AM74" s="354"/>
      <c r="AN74" s="354">
        <v>0</v>
      </c>
      <c r="AO74" s="354"/>
      <c r="AP74" s="391">
        <f>IF($F$13="YES",AF74,AN74)</f>
        <v>0</v>
      </c>
      <c r="AQ74" s="344">
        <f>ABS(SUMIF(V74:AP74,"&gt;0")-SUMIF(V74:AP74,"&lt;0"))</f>
        <v>0</v>
      </c>
      <c r="AR74" s="308"/>
      <c r="AS74" s="742"/>
    </row>
    <row r="75" spans="1:58" ht="3.95" hidden="1" customHeight="1">
      <c r="B75" s="274" t="s">
        <v>31</v>
      </c>
      <c r="I75" s="413" t="str">
        <f t="shared" si="17"/>
        <v>53910</v>
      </c>
      <c r="N75" s="274"/>
      <c r="P75" s="283"/>
      <c r="R75" s="308"/>
      <c r="S75" s="308"/>
      <c r="T75" s="401"/>
      <c r="U75" s="308"/>
      <c r="V75" s="401"/>
      <c r="W75" s="308"/>
      <c r="X75" s="401"/>
      <c r="Y75" s="308"/>
      <c r="Z75" s="401"/>
      <c r="AA75" s="308"/>
      <c r="AB75" s="383"/>
      <c r="AC75" s="402"/>
      <c r="AD75" s="383"/>
      <c r="AE75" s="402"/>
      <c r="AF75" s="383"/>
      <c r="AG75" s="402"/>
      <c r="AH75" s="383"/>
      <c r="AI75" s="402"/>
      <c r="AJ75" s="383"/>
      <c r="AK75" s="402"/>
      <c r="AL75" s="383"/>
      <c r="AM75" s="402"/>
      <c r="AN75" s="383"/>
      <c r="AO75" s="383"/>
      <c r="AP75" s="383"/>
      <c r="AQ75" s="308"/>
      <c r="AR75" s="308"/>
      <c r="AS75" s="420"/>
    </row>
    <row r="76" spans="1:58" ht="15" hidden="1" customHeight="1">
      <c r="B76" s="271" t="str">
        <f>IF(AQ76=0,"Hide","Show")</f>
        <v>Hide</v>
      </c>
      <c r="I76" s="413" t="str">
        <f t="shared" si="17"/>
        <v>53910</v>
      </c>
      <c r="N76" s="274"/>
      <c r="P76" s="283"/>
      <c r="R76" s="417" t="str">
        <f>"Total "&amp;($R73)</f>
        <v>Total Operation &amp; Maintenance</v>
      </c>
      <c r="S76" s="308"/>
      <c r="T76" s="393">
        <f>SUM(T74:T75)</f>
        <v>0</v>
      </c>
      <c r="U76" s="322"/>
      <c r="V76" s="393">
        <f>SUM(V74:V75)</f>
        <v>0</v>
      </c>
      <c r="W76" s="404"/>
      <c r="X76" s="393">
        <f>SUM(X74:X75)</f>
        <v>0</v>
      </c>
      <c r="Y76" s="404"/>
      <c r="Z76" s="393">
        <f>SUM(Z74:Z75)</f>
        <v>0</v>
      </c>
      <c r="AA76" s="404"/>
      <c r="AB76" s="394">
        <f>SUM(AB74:AB75)</f>
        <v>0</v>
      </c>
      <c r="AC76" s="405"/>
      <c r="AD76" s="394">
        <f>SUM(AD74:AD75)</f>
        <v>0</v>
      </c>
      <c r="AE76" s="386"/>
      <c r="AF76" s="394">
        <f>SUM(AF74:AF75)</f>
        <v>0</v>
      </c>
      <c r="AG76" s="405"/>
      <c r="AH76" s="394">
        <f>SUM(AH74:AH75)</f>
        <v>0</v>
      </c>
      <c r="AI76" s="405"/>
      <c r="AJ76" s="394">
        <f>SUM(AJ74:AJ75)</f>
        <v>0</v>
      </c>
      <c r="AK76" s="405"/>
      <c r="AL76" s="394">
        <f>SUM(AL74:AL75)</f>
        <v>0</v>
      </c>
      <c r="AM76" s="405"/>
      <c r="AN76" s="394">
        <f>SUM(AN74:AN75)</f>
        <v>0</v>
      </c>
      <c r="AO76" s="405"/>
      <c r="AP76" s="394">
        <f>SUM(AP74:AP75)</f>
        <v>0</v>
      </c>
      <c r="AQ76" s="344">
        <f>ABS(SUMIF(V76:AP76,"&gt;0")-SUMIF(V76:AP76,"&lt;0"))</f>
        <v>0</v>
      </c>
      <c r="AR76" s="308"/>
      <c r="AS76" s="420"/>
      <c r="AU76" s="274">
        <f>SUM(T73:T75)</f>
        <v>0</v>
      </c>
      <c r="AV76" s="274">
        <f>SUM(V73:V75)</f>
        <v>0</v>
      </c>
      <c r="AW76" s="274">
        <f>SUM(X73:X75)</f>
        <v>0</v>
      </c>
      <c r="AX76" s="274">
        <f>SUM(Z73:Z75)</f>
        <v>0</v>
      </c>
      <c r="AY76" s="274">
        <f>SUM(AB73:AB75)</f>
        <v>0</v>
      </c>
      <c r="AZ76" s="274">
        <f>SUM(AD73:AD75)</f>
        <v>0</v>
      </c>
      <c r="BA76" s="274">
        <f>SUM(AF73:AF75)</f>
        <v>0</v>
      </c>
      <c r="BB76" s="274">
        <f>SUM(AH73:AH75)</f>
        <v>0</v>
      </c>
      <c r="BC76" s="274">
        <f>SUM(AJ73:AJ75)</f>
        <v>0</v>
      </c>
      <c r="BD76" s="274">
        <f>SUM(AL73:AL75)</f>
        <v>0</v>
      </c>
      <c r="BE76" s="274">
        <f>SUM(AN73:AN75)</f>
        <v>0</v>
      </c>
      <c r="BF76" s="274">
        <f>SUM(AP73:AP75)</f>
        <v>0</v>
      </c>
    </row>
    <row r="77" spans="1:58" ht="9.9499999999999993" hidden="1" customHeight="1">
      <c r="B77" s="271" t="str">
        <f>B76</f>
        <v>Hide</v>
      </c>
      <c r="I77" s="413" t="str">
        <f t="shared" si="17"/>
        <v>53910</v>
      </c>
      <c r="N77" s="274"/>
      <c r="P77" s="283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402"/>
      <c r="AC77" s="402"/>
      <c r="AD77" s="402"/>
      <c r="AE77" s="402"/>
      <c r="AF77" s="402"/>
      <c r="AG77" s="402"/>
      <c r="AH77" s="402"/>
      <c r="AI77" s="402"/>
      <c r="AJ77" s="402"/>
      <c r="AK77" s="402"/>
      <c r="AL77" s="402"/>
      <c r="AM77" s="402"/>
      <c r="AN77" s="402"/>
      <c r="AO77" s="383"/>
      <c r="AP77" s="402"/>
      <c r="AQ77" s="308"/>
      <c r="AR77" s="308"/>
      <c r="AS77" s="420"/>
    </row>
    <row r="78" spans="1:58" hidden="1">
      <c r="A78" s="271" t="s">
        <v>76</v>
      </c>
      <c r="B78" s="271" t="s">
        <v>31</v>
      </c>
      <c r="H78" s="272" t="s">
        <v>365</v>
      </c>
      <c r="I78" s="412" t="str">
        <f>"58001"</f>
        <v>58001</v>
      </c>
      <c r="N78" s="274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402"/>
      <c r="AC78" s="402"/>
      <c r="AD78" s="402"/>
      <c r="AE78" s="402"/>
      <c r="AF78" s="402"/>
      <c r="AG78" s="402"/>
      <c r="AH78" s="402"/>
      <c r="AI78" s="402"/>
      <c r="AJ78" s="402"/>
      <c r="AK78" s="402"/>
      <c r="AL78" s="402"/>
      <c r="AM78" s="402"/>
      <c r="AN78" s="402"/>
      <c r="AO78" s="383"/>
      <c r="AP78" s="402"/>
      <c r="AQ78" s="308"/>
      <c r="AR78" s="308"/>
      <c r="AS78" s="420"/>
    </row>
    <row r="79" spans="1:58" ht="15" customHeight="1">
      <c r="A79" s="271" t="s">
        <v>76</v>
      </c>
      <c r="B79" s="271" t="str">
        <f>IF(AQ82=0,"Hide","Show")</f>
        <v>Show</v>
      </c>
      <c r="I79" s="413" t="str">
        <f t="shared" ref="I79:I83" si="18">I78</f>
        <v>58001</v>
      </c>
      <c r="N79" s="274"/>
      <c r="R79" s="414" t="s">
        <v>532</v>
      </c>
      <c r="S79" s="308"/>
      <c r="T79" s="308"/>
      <c r="U79" s="308"/>
      <c r="V79" s="308"/>
      <c r="W79" s="308"/>
      <c r="X79" s="308"/>
      <c r="Y79" s="308"/>
      <c r="Z79" s="308"/>
      <c r="AA79" s="308"/>
      <c r="AB79" s="402"/>
      <c r="AC79" s="402"/>
      <c r="AD79" s="402"/>
      <c r="AE79" s="402"/>
      <c r="AF79" s="402"/>
      <c r="AG79" s="402"/>
      <c r="AH79" s="402"/>
      <c r="AI79" s="402"/>
      <c r="AJ79" s="402"/>
      <c r="AK79" s="402"/>
      <c r="AL79" s="402"/>
      <c r="AM79" s="402"/>
      <c r="AN79" s="402"/>
      <c r="AO79" s="383"/>
      <c r="AP79" s="402"/>
      <c r="AQ79" s="308"/>
      <c r="AR79" s="308"/>
      <c r="AS79" s="420"/>
      <c r="AU79" s="362" t="s">
        <v>301</v>
      </c>
      <c r="AV79" s="362" t="str">
        <f>$V$33</f>
        <v>FY 2012</v>
      </c>
      <c r="AW79" s="362" t="str">
        <f>$X$33</f>
        <v>FY 2013</v>
      </c>
      <c r="AX79" s="362" t="str">
        <f>$Z$33</f>
        <v>FY 2014</v>
      </c>
      <c r="AY79" s="362" t="str">
        <f>$AB$33</f>
        <v>FY - 2015</v>
      </c>
      <c r="AZ79" s="362" t="s">
        <v>327</v>
      </c>
      <c r="BA79" s="362" t="s">
        <v>328</v>
      </c>
      <c r="BB79" s="362" t="s">
        <v>329</v>
      </c>
      <c r="BC79" s="362" t="s">
        <v>330</v>
      </c>
      <c r="BD79" s="362" t="s">
        <v>289</v>
      </c>
      <c r="BE79" s="362" t="s">
        <v>331</v>
      </c>
      <c r="BF79" s="362" t="s">
        <v>332</v>
      </c>
    </row>
    <row r="80" spans="1:58" ht="15.6" customHeight="1">
      <c r="A80" s="271" t="s">
        <v>311</v>
      </c>
      <c r="B80" s="271" t="str">
        <f>IF(AQ80=0,"Hide","Show")</f>
        <v>Show</v>
      </c>
      <c r="I80" s="413" t="str">
        <f t="shared" si="18"/>
        <v>58001</v>
      </c>
      <c r="K80" s="337" t="s">
        <v>557</v>
      </c>
      <c r="L80" s="275" t="str">
        <f>$F$22</f>
        <v>204</v>
      </c>
      <c r="M80" s="275" t="str">
        <f>$J$7</f>
        <v>10/1/2016..9/30/2017</v>
      </c>
      <c r="N80" s="274" t="str">
        <f>$D$6</f>
        <v>HARMONY CDD</v>
      </c>
      <c r="O80" s="387" t="str">
        <f>IF(I80="","500000 51800",K80&amp;" "&amp;I80)</f>
        <v>573012 58001</v>
      </c>
      <c r="P80" s="283" t="str">
        <f>K80</f>
        <v>573012</v>
      </c>
      <c r="R80" s="389" t="s">
        <v>535</v>
      </c>
      <c r="S80" s="308"/>
      <c r="T80" s="388">
        <v>0</v>
      </c>
      <c r="U80" s="401"/>
      <c r="V80" s="388">
        <v>0</v>
      </c>
      <c r="W80" s="338"/>
      <c r="X80" s="388">
        <v>0</v>
      </c>
      <c r="Y80" s="338"/>
      <c r="Z80" s="388">
        <v>0</v>
      </c>
      <c r="AA80" s="338"/>
      <c r="AB80" s="354">
        <v>338250</v>
      </c>
      <c r="AC80" s="351"/>
      <c r="AD80" s="354">
        <v>0</v>
      </c>
      <c r="AE80" s="354"/>
      <c r="AF80" s="354">
        <v>0</v>
      </c>
      <c r="AG80" s="354"/>
      <c r="AH80" s="354">
        <v>0</v>
      </c>
      <c r="AI80" s="354"/>
      <c r="AJ80" s="391">
        <v>0</v>
      </c>
      <c r="AK80" s="354"/>
      <c r="AL80" s="350">
        <f>IF(ISERROR(AH80+AJ80),0,(AH80+AJ80))</f>
        <v>0</v>
      </c>
      <c r="AM80" s="354"/>
      <c r="AN80" s="354">
        <v>0</v>
      </c>
      <c r="AO80" s="354"/>
      <c r="AP80" s="391">
        <f>IF($F$13="YES",AF80,AN80)</f>
        <v>0</v>
      </c>
      <c r="AQ80" s="344">
        <f>ABS(SUMIF(V80:AP80,"&gt;0")-SUMIF(V80:AP80,"&lt;0"))</f>
        <v>338250</v>
      </c>
      <c r="AR80" s="308"/>
      <c r="AS80" s="742"/>
    </row>
    <row r="81" spans="1:58" ht="3.95" hidden="1" customHeight="1">
      <c r="A81" s="271" t="s">
        <v>76</v>
      </c>
      <c r="B81" s="274" t="s">
        <v>31</v>
      </c>
      <c r="I81" s="413" t="str">
        <f t="shared" si="18"/>
        <v>58001</v>
      </c>
      <c r="N81" s="274"/>
      <c r="P81" s="283"/>
      <c r="R81" s="308"/>
      <c r="S81" s="308"/>
      <c r="T81" s="401"/>
      <c r="U81" s="308"/>
      <c r="V81" s="401"/>
      <c r="W81" s="308"/>
      <c r="X81" s="401"/>
      <c r="Y81" s="308"/>
      <c r="Z81" s="401"/>
      <c r="AA81" s="308"/>
      <c r="AB81" s="383"/>
      <c r="AC81" s="402"/>
      <c r="AD81" s="383"/>
      <c r="AE81" s="402"/>
      <c r="AF81" s="383"/>
      <c r="AG81" s="402"/>
      <c r="AH81" s="383"/>
      <c r="AI81" s="402"/>
      <c r="AJ81" s="383"/>
      <c r="AK81" s="402"/>
      <c r="AL81" s="383"/>
      <c r="AM81" s="402"/>
      <c r="AN81" s="383"/>
      <c r="AO81" s="383"/>
      <c r="AP81" s="383"/>
      <c r="AQ81" s="308"/>
      <c r="AR81" s="308"/>
      <c r="AS81" s="420"/>
    </row>
    <row r="82" spans="1:58" ht="15" customHeight="1">
      <c r="A82" s="271" t="s">
        <v>76</v>
      </c>
      <c r="B82" s="271" t="str">
        <f>IF(AQ82=0,"Hide","Show")</f>
        <v>Show</v>
      </c>
      <c r="I82" s="413" t="str">
        <f t="shared" si="18"/>
        <v>58001</v>
      </c>
      <c r="N82" s="274"/>
      <c r="P82" s="283"/>
      <c r="R82" s="417" t="str">
        <f>"Total "&amp;($R79)</f>
        <v>Total Non-Operating</v>
      </c>
      <c r="S82" s="308"/>
      <c r="T82" s="393">
        <f>SUM(T80:T81)</f>
        <v>0</v>
      </c>
      <c r="U82" s="322"/>
      <c r="V82" s="393">
        <f>SUM(V80:V81)</f>
        <v>0</v>
      </c>
      <c r="W82" s="404"/>
      <c r="X82" s="393">
        <f>SUM(X80:X81)</f>
        <v>0</v>
      </c>
      <c r="Y82" s="404"/>
      <c r="Z82" s="393">
        <f>SUM(Z80:Z81)</f>
        <v>0</v>
      </c>
      <c r="AA82" s="404"/>
      <c r="AB82" s="394">
        <f>SUM(AB80:AB81)</f>
        <v>338250</v>
      </c>
      <c r="AC82" s="405"/>
      <c r="AD82" s="394">
        <f>SUM(AD80:AD81)</f>
        <v>0</v>
      </c>
      <c r="AE82" s="386"/>
      <c r="AF82" s="394">
        <f>SUM(AF80:AF81)</f>
        <v>0</v>
      </c>
      <c r="AG82" s="405"/>
      <c r="AH82" s="394">
        <f>SUM(AH80:AH81)</f>
        <v>0</v>
      </c>
      <c r="AI82" s="405"/>
      <c r="AJ82" s="394">
        <f>SUM(AJ80:AJ81)</f>
        <v>0</v>
      </c>
      <c r="AK82" s="405"/>
      <c r="AL82" s="394">
        <f>SUM(AL80:AL81)</f>
        <v>0</v>
      </c>
      <c r="AM82" s="405"/>
      <c r="AN82" s="394">
        <f>SUM(AN80:AN81)</f>
        <v>0</v>
      </c>
      <c r="AO82" s="405"/>
      <c r="AP82" s="394">
        <f>SUM(AP80:AP81)</f>
        <v>0</v>
      </c>
      <c r="AQ82" s="344">
        <f>ABS(SUMIF(V82:AP82,"&gt;0")-SUMIF(V82:AP82,"&lt;0"))</f>
        <v>338250</v>
      </c>
      <c r="AR82" s="308"/>
      <c r="AS82" s="420"/>
      <c r="AU82" s="274">
        <f>SUM(T79:T81)</f>
        <v>0</v>
      </c>
      <c r="AV82" s="274">
        <f>SUM(V79:V81)</f>
        <v>0</v>
      </c>
      <c r="AW82" s="274">
        <f>SUM(X79:X81)</f>
        <v>0</v>
      </c>
      <c r="AX82" s="274">
        <f>SUM(Z79:Z81)</f>
        <v>0</v>
      </c>
      <c r="AY82" s="274">
        <f>SUM(AB79:AB81)</f>
        <v>338250</v>
      </c>
      <c r="AZ82" s="274">
        <f>SUM(AD79:AD81)</f>
        <v>0</v>
      </c>
      <c r="BA82" s="274">
        <f>SUM(AF79:AF81)</f>
        <v>0</v>
      </c>
      <c r="BB82" s="274">
        <f>SUM(AH79:AH81)</f>
        <v>0</v>
      </c>
      <c r="BC82" s="274">
        <f>SUM(AJ79:AJ81)</f>
        <v>0</v>
      </c>
      <c r="BD82" s="274">
        <f>SUM(AL79:AL81)</f>
        <v>0</v>
      </c>
      <c r="BE82" s="274">
        <f>SUM(AN79:AN81)</f>
        <v>0</v>
      </c>
      <c r="BF82" s="274">
        <f>SUM(AP79:AP81)</f>
        <v>0</v>
      </c>
    </row>
    <row r="83" spans="1:58" ht="9.9499999999999993" customHeight="1">
      <c r="A83" s="271" t="s">
        <v>76</v>
      </c>
      <c r="B83" s="271" t="str">
        <f>B82</f>
        <v>Show</v>
      </c>
      <c r="I83" s="413" t="str">
        <f t="shared" si="18"/>
        <v>58001</v>
      </c>
      <c r="N83" s="274"/>
      <c r="P83" s="283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402"/>
      <c r="AC83" s="402"/>
      <c r="AD83" s="402"/>
      <c r="AE83" s="402"/>
      <c r="AF83" s="402"/>
      <c r="AG83" s="402"/>
      <c r="AH83" s="402"/>
      <c r="AI83" s="402"/>
      <c r="AJ83" s="402"/>
      <c r="AK83" s="402"/>
      <c r="AL83" s="402"/>
      <c r="AM83" s="402"/>
      <c r="AN83" s="402"/>
      <c r="AO83" s="383"/>
      <c r="AP83" s="402"/>
      <c r="AQ83" s="308"/>
      <c r="AR83" s="308"/>
      <c r="AS83" s="420"/>
    </row>
    <row r="84" spans="1:58" hidden="1">
      <c r="B84" s="271" t="s">
        <v>31</v>
      </c>
      <c r="N84" s="274"/>
      <c r="P84" s="283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402"/>
      <c r="AC84" s="402"/>
      <c r="AD84" s="402"/>
      <c r="AE84" s="402"/>
      <c r="AF84" s="402"/>
      <c r="AG84" s="402"/>
      <c r="AH84" s="402"/>
      <c r="AI84" s="402"/>
      <c r="AJ84" s="402"/>
      <c r="AK84" s="402"/>
      <c r="AL84" s="402"/>
      <c r="AM84" s="402"/>
      <c r="AN84" s="402"/>
      <c r="AO84" s="383"/>
      <c r="AP84" s="402"/>
      <c r="AQ84" s="308"/>
      <c r="AR84" s="308"/>
      <c r="AS84" s="420"/>
    </row>
    <row r="85" spans="1:58" hidden="1">
      <c r="B85" s="271" t="s">
        <v>31</v>
      </c>
      <c r="N85" s="274"/>
      <c r="P85" s="283"/>
      <c r="R85" s="424" t="s">
        <v>437</v>
      </c>
      <c r="S85" s="424"/>
      <c r="T85" s="424">
        <f>SUM(AU75:AU84)</f>
        <v>0</v>
      </c>
      <c r="U85" s="424"/>
      <c r="V85" s="424">
        <f>SUM(AV75:AV84)</f>
        <v>0</v>
      </c>
      <c r="W85" s="424"/>
      <c r="X85" s="424">
        <f>SUM(AW75:AW84)</f>
        <v>0</v>
      </c>
      <c r="Y85" s="424"/>
      <c r="Z85" s="424">
        <f>SUM(AX75:AX84)</f>
        <v>0</v>
      </c>
      <c r="AA85" s="424"/>
      <c r="AB85" s="425">
        <f>SUM(AY75:AY84)</f>
        <v>338250</v>
      </c>
      <c r="AC85" s="425"/>
      <c r="AD85" s="425">
        <f>SUM(AZ75:AZ84)</f>
        <v>0</v>
      </c>
      <c r="AE85" s="425"/>
      <c r="AF85" s="425">
        <f>SUM(BA75:BA84)</f>
        <v>0</v>
      </c>
      <c r="AG85" s="425"/>
      <c r="AH85" s="425">
        <f>SUM(BB75:BB84)</f>
        <v>0</v>
      </c>
      <c r="AI85" s="425"/>
      <c r="AJ85" s="425">
        <f>SUM(BC75:BC84)</f>
        <v>0</v>
      </c>
      <c r="AK85" s="425"/>
      <c r="AL85" s="425">
        <f>SUM(BD75:BD84)</f>
        <v>0</v>
      </c>
      <c r="AM85" s="425"/>
      <c r="AN85" s="425">
        <f>SUM(BE75:BE84)</f>
        <v>0</v>
      </c>
      <c r="AO85" s="425"/>
      <c r="AP85" s="425">
        <f>SUM(BF75:BF84)</f>
        <v>0</v>
      </c>
      <c r="AQ85" s="308"/>
      <c r="AR85" s="308"/>
      <c r="AS85" s="420"/>
    </row>
    <row r="86" spans="1:58" ht="27" hidden="1">
      <c r="B86" s="271" t="s">
        <v>31</v>
      </c>
      <c r="E86" s="427" t="s">
        <v>438</v>
      </c>
      <c r="N86" s="274"/>
      <c r="P86" s="283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402"/>
      <c r="AC86" s="402"/>
      <c r="AD86" s="402"/>
      <c r="AE86" s="402"/>
      <c r="AF86" s="402"/>
      <c r="AG86" s="402"/>
      <c r="AH86" s="402">
        <f>$Z$160+$Z$161+$Z$162+$Z$163</f>
        <v>0</v>
      </c>
      <c r="AI86" s="402"/>
      <c r="AJ86" s="402"/>
      <c r="AK86" s="402"/>
      <c r="AL86" s="402"/>
      <c r="AM86" s="402"/>
      <c r="AN86" s="402"/>
      <c r="AO86" s="383"/>
      <c r="AP86" s="402"/>
      <c r="AQ86" s="308"/>
      <c r="AR86" s="308"/>
      <c r="AS86" s="420"/>
    </row>
    <row r="87" spans="1:58" ht="15" hidden="1" customHeight="1">
      <c r="B87" s="271" t="str">
        <f>IF(AQ90=0,"Hide","Show")</f>
        <v>Hide</v>
      </c>
      <c r="L87" s="275"/>
      <c r="M87" s="275"/>
      <c r="N87" s="274"/>
      <c r="O87" s="280"/>
      <c r="P87" s="283"/>
      <c r="R87" s="414" t="s">
        <v>439</v>
      </c>
      <c r="S87" s="308"/>
      <c r="T87" s="308"/>
      <c r="U87" s="308"/>
      <c r="V87" s="308"/>
      <c r="W87" s="308"/>
      <c r="X87" s="308"/>
      <c r="Y87" s="308"/>
      <c r="Z87" s="308"/>
      <c r="AA87" s="308"/>
      <c r="AB87" s="402"/>
      <c r="AC87" s="402"/>
      <c r="AD87" s="402"/>
      <c r="AE87" s="402"/>
      <c r="AF87" s="402"/>
      <c r="AG87" s="402"/>
      <c r="AH87" s="402"/>
      <c r="AI87" s="402"/>
      <c r="AJ87" s="402"/>
      <c r="AK87" s="402"/>
      <c r="AL87" s="402"/>
      <c r="AM87" s="402"/>
      <c r="AN87" s="402"/>
      <c r="AO87" s="383"/>
      <c r="AP87" s="402"/>
      <c r="AQ87" s="308"/>
      <c r="AR87" s="308"/>
      <c r="AS87" s="420"/>
    </row>
    <row r="88" spans="1:58" ht="15.6" hidden="1" customHeight="1">
      <c r="A88" s="271" t="s">
        <v>236</v>
      </c>
      <c r="B88" s="271" t="str">
        <f>IF(AQ88=0,"Hide","Show")</f>
        <v>Hide</v>
      </c>
      <c r="K88" s="337"/>
      <c r="L88" s="275" t="str">
        <f>$F$22</f>
        <v>204</v>
      </c>
      <c r="M88" s="275" t="str">
        <f>$J$7</f>
        <v>10/1/2016..9/30/2017</v>
      </c>
      <c r="N88" s="274" t="str">
        <f>$D$6</f>
        <v>HARMONY CDD</v>
      </c>
      <c r="O88" s="387" t="str">
        <f>IF(K88="","565999",K88)</f>
        <v>565999</v>
      </c>
      <c r="P88" s="283">
        <f>K88</f>
        <v>0</v>
      </c>
      <c r="R88" s="389"/>
      <c r="S88" s="308"/>
      <c r="T88" s="428">
        <v>0</v>
      </c>
      <c r="U88" s="401"/>
      <c r="V88" s="428">
        <v>0</v>
      </c>
      <c r="W88" s="349"/>
      <c r="X88" s="428">
        <v>0</v>
      </c>
      <c r="Y88" s="349"/>
      <c r="Z88" s="428">
        <v>0</v>
      </c>
      <c r="AA88" s="349"/>
      <c r="AB88" s="354">
        <v>0</v>
      </c>
      <c r="AC88" s="351"/>
      <c r="AD88" s="354">
        <v>0</v>
      </c>
      <c r="AE88" s="354"/>
      <c r="AF88" s="354">
        <v>0</v>
      </c>
      <c r="AG88" s="354"/>
      <c r="AH88" s="354">
        <v>0</v>
      </c>
      <c r="AI88" s="354"/>
      <c r="AJ88" s="391">
        <v>0</v>
      </c>
      <c r="AK88" s="354"/>
      <c r="AL88" s="350">
        <f>IF(ISERROR(AH88+AJ88),0,(AH88+AJ88))</f>
        <v>0</v>
      </c>
      <c r="AM88" s="354"/>
      <c r="AN88" s="354">
        <v>0</v>
      </c>
      <c r="AO88" s="354"/>
      <c r="AP88" s="391">
        <f>IF($F$13="YES",AF88,AN88)</f>
        <v>0</v>
      </c>
      <c r="AQ88" s="344">
        <f>ABS(SUMIF(V88:AP88,"&gt;0")-SUMIF(V88:AP88,"&lt;0"))</f>
        <v>0</v>
      </c>
      <c r="AR88" s="308"/>
      <c r="AS88" s="742"/>
    </row>
    <row r="89" spans="1:58" ht="3.95" hidden="1" customHeight="1">
      <c r="B89" s="274" t="s">
        <v>31</v>
      </c>
      <c r="N89" s="274"/>
      <c r="P89" s="283"/>
      <c r="R89" s="308"/>
      <c r="S89" s="308"/>
      <c r="T89" s="401"/>
      <c r="U89" s="308"/>
      <c r="V89" s="401"/>
      <c r="W89" s="308"/>
      <c r="X89" s="401"/>
      <c r="Y89" s="308"/>
      <c r="Z89" s="401"/>
      <c r="AA89" s="308"/>
      <c r="AB89" s="383"/>
      <c r="AC89" s="402"/>
      <c r="AD89" s="383"/>
      <c r="AE89" s="402"/>
      <c r="AF89" s="383"/>
      <c r="AG89" s="402"/>
      <c r="AH89" s="383"/>
      <c r="AI89" s="402"/>
      <c r="AJ89" s="383"/>
      <c r="AK89" s="402"/>
      <c r="AL89" s="383"/>
      <c r="AM89" s="402"/>
      <c r="AN89" s="383"/>
      <c r="AO89" s="383"/>
      <c r="AP89" s="383"/>
      <c r="AQ89" s="308"/>
      <c r="AR89" s="308"/>
      <c r="AS89" s="420"/>
    </row>
    <row r="90" spans="1:58" ht="15" hidden="1" customHeight="1">
      <c r="B90" s="271" t="str">
        <f>IF(AQ90=0,"Hide","Show")</f>
        <v>Hide</v>
      </c>
      <c r="N90" s="274"/>
      <c r="P90" s="283"/>
      <c r="R90" s="417" t="s">
        <v>440</v>
      </c>
      <c r="S90" s="308"/>
      <c r="T90" s="393">
        <f>SUM(T88:T89)</f>
        <v>0</v>
      </c>
      <c r="U90" s="322"/>
      <c r="V90" s="393">
        <f>SUM(V88:V89)</f>
        <v>0</v>
      </c>
      <c r="W90" s="404"/>
      <c r="X90" s="393">
        <f>SUM(X88:X89)</f>
        <v>0</v>
      </c>
      <c r="Y90" s="404"/>
      <c r="Z90" s="393">
        <f>SUM(Z88:Z89)</f>
        <v>0</v>
      </c>
      <c r="AA90" s="404"/>
      <c r="AB90" s="394">
        <f>SUM(AB88:AB89)</f>
        <v>0</v>
      </c>
      <c r="AC90" s="405"/>
      <c r="AD90" s="394">
        <f>SUM(AD88:AD89)</f>
        <v>0</v>
      </c>
      <c r="AE90" s="386"/>
      <c r="AF90" s="394">
        <f>SUM(AF88:AF89)</f>
        <v>0</v>
      </c>
      <c r="AG90" s="405"/>
      <c r="AH90" s="394">
        <f>SUM(AH88:AH89)</f>
        <v>0</v>
      </c>
      <c r="AI90" s="405"/>
      <c r="AJ90" s="394">
        <f>SUM(AJ88:AJ89)</f>
        <v>0</v>
      </c>
      <c r="AK90" s="405"/>
      <c r="AL90" s="394">
        <f>SUM(AL88:AL89)</f>
        <v>0</v>
      </c>
      <c r="AM90" s="405"/>
      <c r="AN90" s="394">
        <f>SUM(AN88:AN89)</f>
        <v>0</v>
      </c>
      <c r="AO90" s="405"/>
      <c r="AP90" s="394">
        <f>SUM(AP88:AP89)</f>
        <v>0</v>
      </c>
      <c r="AQ90" s="344">
        <f>ABS(SUMIF(V90:AP90,"&gt;0")-SUMIF(V90:AP90,"&lt;0"))</f>
        <v>0</v>
      </c>
      <c r="AR90" s="308"/>
      <c r="AS90" s="420"/>
    </row>
    <row r="91" spans="1:58" ht="9.9499999999999993" hidden="1" customHeight="1">
      <c r="B91" s="271" t="str">
        <f>B90</f>
        <v>Hide</v>
      </c>
      <c r="E91" s="336" t="str">
        <f>IF($F$22=0,0,IF(OR($F$14="No",VALUE($F$22)&lt;=399,VALUE($F$22)&gt;499),"500000..564999|566000..579999","500000..552016|552028..552039|552046..564999|566000..579999"))</f>
        <v>500000..564999|566000..579999</v>
      </c>
      <c r="F91" s="300"/>
      <c r="H91" s="429" t="s">
        <v>441</v>
      </c>
      <c r="N91" s="274"/>
      <c r="P91" s="283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383"/>
      <c r="AP91" s="402"/>
      <c r="AQ91" s="308"/>
      <c r="AR91" s="308"/>
      <c r="AS91" s="420"/>
    </row>
    <row r="92" spans="1:58" ht="15" customHeight="1">
      <c r="B92" s="271" t="str">
        <f ca="1">IF(AQ98=0,"Hide","Show")</f>
        <v>Show</v>
      </c>
      <c r="N92" s="274"/>
      <c r="P92" s="283"/>
      <c r="R92" s="414" t="s">
        <v>166</v>
      </c>
      <c r="S92" s="308"/>
      <c r="T92" s="308"/>
      <c r="U92" s="308"/>
      <c r="V92" s="308"/>
      <c r="W92" s="308"/>
      <c r="X92" s="308"/>
      <c r="Y92" s="308"/>
      <c r="Z92" s="308"/>
      <c r="AA92" s="308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383"/>
      <c r="AP92" s="402"/>
      <c r="AQ92" s="308"/>
      <c r="AR92" s="308"/>
      <c r="AS92" s="420"/>
    </row>
    <row r="93" spans="1:58" ht="15.6" customHeight="1">
      <c r="A93" s="271" t="s">
        <v>236</v>
      </c>
      <c r="B93" s="271" t="str">
        <f ca="1">IF(AQ93=0,"Hide","Show")</f>
        <v>Show</v>
      </c>
      <c r="K93" s="337" t="s">
        <v>486</v>
      </c>
      <c r="L93" s="275" t="str">
        <f>$F$22</f>
        <v>204</v>
      </c>
      <c r="M93" s="275" t="str">
        <f>$J$7</f>
        <v>10/1/2016..9/30/2017</v>
      </c>
      <c r="N93" s="274" t="str">
        <f>$D$6</f>
        <v>HARMONY CDD</v>
      </c>
      <c r="O93" s="387" t="str">
        <f>IF(K93="","500000 51799",K93&amp;" "&amp;"51799")</f>
        <v>571001 51799</v>
      </c>
      <c r="P93" s="283" t="str">
        <f>K93</f>
        <v>571001</v>
      </c>
      <c r="R93" s="389" t="s">
        <v>487</v>
      </c>
      <c r="S93" s="308"/>
      <c r="T93" s="428">
        <v>0</v>
      </c>
      <c r="U93" s="401"/>
      <c r="V93" s="428">
        <v>0</v>
      </c>
      <c r="W93" s="349"/>
      <c r="X93" s="428">
        <v>0</v>
      </c>
      <c r="Y93" s="349"/>
      <c r="Z93" s="428">
        <v>0</v>
      </c>
      <c r="AA93" s="349"/>
      <c r="AB93" s="354">
        <v>0</v>
      </c>
      <c r="AC93" s="351"/>
      <c r="AD93" s="354">
        <v>0</v>
      </c>
      <c r="AE93" s="354"/>
      <c r="AF93" s="354">
        <v>390000</v>
      </c>
      <c r="AG93" s="354"/>
      <c r="AH93" s="354">
        <f ca="1">IF(TODAY()&gt;'Amort 2015'!B13,'Amort 2015'!D13,0)</f>
        <v>390000</v>
      </c>
      <c r="AI93" s="354"/>
      <c r="AJ93" s="391">
        <f ca="1">AF93-AH93</f>
        <v>0</v>
      </c>
      <c r="AK93" s="354"/>
      <c r="AL93" s="350">
        <f ca="1">IF(ISERROR(AH93+AJ93),0,(AH93+AJ93))</f>
        <v>390000</v>
      </c>
      <c r="AM93" s="354"/>
      <c r="AN93" s="354">
        <v>0</v>
      </c>
      <c r="AO93" s="354"/>
      <c r="AP93" s="391">
        <f>'Amort 2015'!D15</f>
        <v>410000</v>
      </c>
      <c r="AQ93" s="344">
        <f ca="1">ABS(SUMIF(V93:AP93,"&gt;0")-SUMIF(V93:AP93,"&lt;0"))</f>
        <v>1580000</v>
      </c>
      <c r="AR93" s="308"/>
      <c r="AS93" s="742"/>
    </row>
    <row r="94" spans="1:58" ht="15.6" customHeight="1">
      <c r="K94" s="337"/>
      <c r="L94" s="275"/>
      <c r="M94" s="275"/>
      <c r="N94" s="274"/>
      <c r="O94" s="387"/>
      <c r="P94" s="283"/>
      <c r="R94" s="389" t="s">
        <v>488</v>
      </c>
      <c r="S94" s="308"/>
      <c r="T94" s="428"/>
      <c r="U94" s="401"/>
      <c r="V94" s="428"/>
      <c r="W94" s="349"/>
      <c r="X94" s="428"/>
      <c r="Y94" s="349"/>
      <c r="Z94" s="428"/>
      <c r="AA94" s="349"/>
      <c r="AB94" s="354">
        <v>0</v>
      </c>
      <c r="AC94" s="351"/>
      <c r="AD94" s="354"/>
      <c r="AE94" s="354"/>
      <c r="AF94" s="354">
        <v>0</v>
      </c>
      <c r="AG94" s="354"/>
      <c r="AH94" s="354">
        <v>0</v>
      </c>
      <c r="AI94" s="354"/>
      <c r="AJ94" s="391">
        <v>0</v>
      </c>
      <c r="AK94" s="354"/>
      <c r="AL94" s="350">
        <v>0</v>
      </c>
      <c r="AM94" s="354"/>
      <c r="AN94" s="354"/>
      <c r="AO94" s="354"/>
      <c r="AP94" s="391">
        <v>0</v>
      </c>
      <c r="AQ94" s="344"/>
      <c r="AR94" s="308"/>
      <c r="AS94" s="742"/>
    </row>
    <row r="95" spans="1:58" ht="15.6" customHeight="1">
      <c r="A95" s="271" t="s">
        <v>311</v>
      </c>
      <c r="B95" s="271" t="str">
        <f ca="1">IF(AQ95=0,"Hide","Show")</f>
        <v>Show</v>
      </c>
      <c r="K95" s="337" t="str">
        <f>"572001"</f>
        <v>572001</v>
      </c>
      <c r="L95" s="275" t="str">
        <f>$F$22</f>
        <v>204</v>
      </c>
      <c r="M95" s="275" t="str">
        <f>$J$7</f>
        <v>10/1/2016..9/30/2017</v>
      </c>
      <c r="N95" s="274" t="str">
        <f>$D$6</f>
        <v>HARMONY CDD</v>
      </c>
      <c r="O95" s="387" t="str">
        <f>IF(K95="","500000 51799",K95&amp;" "&amp;"51799")</f>
        <v>572001 51799</v>
      </c>
      <c r="P95" s="283" t="str">
        <f>K95</f>
        <v>572001</v>
      </c>
      <c r="R95" s="389" t="s">
        <v>443</v>
      </c>
      <c r="S95" s="308"/>
      <c r="T95" s="428">
        <v>337079</v>
      </c>
      <c r="U95" s="401"/>
      <c r="V95" s="428">
        <v>0</v>
      </c>
      <c r="W95" s="349"/>
      <c r="X95" s="428">
        <v>0</v>
      </c>
      <c r="Y95" s="349"/>
      <c r="Z95" s="428">
        <v>0</v>
      </c>
      <c r="AA95" s="349"/>
      <c r="AB95" s="354">
        <v>0</v>
      </c>
      <c r="AC95" s="351"/>
      <c r="AD95" s="354">
        <v>0</v>
      </c>
      <c r="AE95" s="354"/>
      <c r="AF95" s="354">
        <v>668632</v>
      </c>
      <c r="AG95" s="354"/>
      <c r="AH95" s="354">
        <f ca="1">337079+IF(TODAY()&gt;'Amort 2015'!B13,'Amort 2015'!G13,0)</f>
        <v>668632.125</v>
      </c>
      <c r="AI95" s="354"/>
      <c r="AJ95" s="391">
        <f ca="1">ROUND(AF95-AH95,0)</f>
        <v>0</v>
      </c>
      <c r="AK95" s="354"/>
      <c r="AL95" s="350">
        <f ca="1">IF(ISERROR(AH95+AJ95),0,(AH95+AJ95))</f>
        <v>668632.125</v>
      </c>
      <c r="AM95" s="354"/>
      <c r="AN95" s="354">
        <v>0</v>
      </c>
      <c r="AO95" s="354"/>
      <c r="AP95" s="391">
        <f>'Amort 2015'!G14+'Amort 2015'!G15</f>
        <v>648481.25</v>
      </c>
      <c r="AQ95" s="344">
        <f ca="1">ABS(SUMIF(V95:AP95,"&gt;0")-SUMIF(V95:AP95,"&lt;0"))</f>
        <v>2654377.5</v>
      </c>
      <c r="AR95" s="308"/>
      <c r="AS95" s="742"/>
    </row>
    <row r="96" spans="1:58" ht="15.6" hidden="1" customHeight="1">
      <c r="K96" s="337"/>
      <c r="L96" s="275"/>
      <c r="M96" s="275"/>
      <c r="N96" s="274"/>
      <c r="O96" s="387"/>
      <c r="P96" s="283"/>
      <c r="R96" s="389"/>
      <c r="S96" s="308"/>
      <c r="T96" s="428"/>
      <c r="U96" s="401"/>
      <c r="V96" s="428"/>
      <c r="W96" s="349"/>
      <c r="X96" s="428"/>
      <c r="Y96" s="349"/>
      <c r="Z96" s="428"/>
      <c r="AA96" s="349"/>
      <c r="AB96" s="354"/>
      <c r="AC96" s="351"/>
      <c r="AD96" s="354"/>
      <c r="AE96" s="354"/>
      <c r="AF96" s="354"/>
      <c r="AG96" s="354"/>
      <c r="AH96" s="354"/>
      <c r="AI96" s="354"/>
      <c r="AJ96" s="391"/>
      <c r="AK96" s="354"/>
      <c r="AL96" s="350"/>
      <c r="AM96" s="354"/>
      <c r="AN96" s="354"/>
      <c r="AO96" s="354"/>
      <c r="AP96" s="391"/>
      <c r="AQ96" s="344"/>
      <c r="AR96" s="308"/>
      <c r="AS96" s="747"/>
    </row>
    <row r="97" spans="1:45" ht="3.95" hidden="1" customHeight="1">
      <c r="B97" s="274" t="s">
        <v>31</v>
      </c>
      <c r="N97" s="274"/>
      <c r="P97" s="283"/>
      <c r="R97" s="308"/>
      <c r="S97" s="308"/>
      <c r="T97" s="401"/>
      <c r="U97" s="308"/>
      <c r="V97" s="401"/>
      <c r="W97" s="308"/>
      <c r="X97" s="401"/>
      <c r="Y97" s="308"/>
      <c r="Z97" s="401"/>
      <c r="AA97" s="308"/>
      <c r="AB97" s="383"/>
      <c r="AC97" s="402"/>
      <c r="AD97" s="383"/>
      <c r="AE97" s="402"/>
      <c r="AF97" s="383"/>
      <c r="AG97" s="402"/>
      <c r="AH97" s="383"/>
      <c r="AI97" s="402"/>
      <c r="AJ97" s="383"/>
      <c r="AK97" s="402"/>
      <c r="AL97" s="383"/>
      <c r="AM97" s="402"/>
      <c r="AN97" s="383"/>
      <c r="AO97" s="383"/>
      <c r="AP97" s="383"/>
      <c r="AQ97" s="308"/>
      <c r="AR97" s="308"/>
      <c r="AS97" s="420"/>
    </row>
    <row r="98" spans="1:45" ht="15" customHeight="1">
      <c r="B98" s="271" t="str">
        <f ca="1">IF(AQ98=0,"Hide","Show")</f>
        <v>Show</v>
      </c>
      <c r="N98" s="274"/>
      <c r="P98" s="283"/>
      <c r="R98" s="430" t="s">
        <v>444</v>
      </c>
      <c r="S98" s="308"/>
      <c r="T98" s="393">
        <f>SUM(T93:T97)</f>
        <v>337079</v>
      </c>
      <c r="U98" s="322"/>
      <c r="V98" s="393">
        <f>SUM(V93:V97)</f>
        <v>0</v>
      </c>
      <c r="W98" s="404"/>
      <c r="X98" s="393">
        <f>SUM(X93:X97)</f>
        <v>0</v>
      </c>
      <c r="Y98" s="404"/>
      <c r="Z98" s="393">
        <f>SUM(Z93:Z97)</f>
        <v>0</v>
      </c>
      <c r="AA98" s="404"/>
      <c r="AB98" s="394">
        <f>SUM(AB93:AB97)</f>
        <v>0</v>
      </c>
      <c r="AC98" s="405"/>
      <c r="AD98" s="394">
        <f>SUM(AD93:AD97)</f>
        <v>0</v>
      </c>
      <c r="AE98" s="386"/>
      <c r="AF98" s="394">
        <f>SUM(AF93:AF97)</f>
        <v>1058632</v>
      </c>
      <c r="AG98" s="405"/>
      <c r="AH98" s="394">
        <f ca="1">SUM(AH93:AH97)</f>
        <v>1058632.125</v>
      </c>
      <c r="AI98" s="405"/>
      <c r="AJ98" s="394">
        <f ca="1">SUM(AJ93:AJ97)</f>
        <v>0</v>
      </c>
      <c r="AK98" s="405"/>
      <c r="AL98" s="394">
        <f ca="1">SUM(AL93:AL97)</f>
        <v>1058632.125</v>
      </c>
      <c r="AM98" s="405"/>
      <c r="AN98" s="394">
        <f>SUM(AN93:AN97)</f>
        <v>0</v>
      </c>
      <c r="AO98" s="405"/>
      <c r="AP98" s="394">
        <f>SUM(AP93:AP97)</f>
        <v>1058481.25</v>
      </c>
      <c r="AQ98" s="344">
        <f ca="1">ABS(SUMIF(V98:AP98,"&gt;0")-SUMIF(V98:AP98,"&lt;0"))</f>
        <v>4234377.5</v>
      </c>
      <c r="AR98" s="308"/>
      <c r="AS98" s="420"/>
    </row>
    <row r="99" spans="1:45" ht="9.9499999999999993" customHeight="1">
      <c r="B99" s="271" t="str">
        <f ca="1">B98</f>
        <v>Show</v>
      </c>
      <c r="N99" s="274"/>
      <c r="P99" s="283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402"/>
      <c r="AC99" s="402"/>
      <c r="AD99" s="402"/>
      <c r="AE99" s="402"/>
      <c r="AF99" s="402"/>
      <c r="AG99" s="402"/>
      <c r="AH99" s="402"/>
      <c r="AI99" s="402"/>
      <c r="AJ99" s="402"/>
      <c r="AK99" s="402"/>
      <c r="AL99" s="402"/>
      <c r="AM99" s="402"/>
      <c r="AN99" s="402"/>
      <c r="AO99" s="383"/>
      <c r="AP99" s="402"/>
      <c r="AQ99" s="308"/>
      <c r="AR99" s="308"/>
      <c r="AS99" s="420"/>
    </row>
    <row r="100" spans="1:45" ht="15" hidden="1" customHeight="1">
      <c r="B100" s="271" t="str">
        <f>IF(AQ100=0,"Hide","Show")</f>
        <v>Hide</v>
      </c>
      <c r="N100" s="274"/>
      <c r="P100" s="283"/>
      <c r="R100" s="368" t="str">
        <f>IF(AND($F$22&gt;"399",$F$22&lt;"500"),"TOTAL OPERATING EXPENSES","TOTAL EXPENDITURES")</f>
        <v>TOTAL EXPENDITURES</v>
      </c>
      <c r="S100" s="431"/>
      <c r="T100" s="370">
        <f>IF($F$6="no",0,SUM(T98+T90+T85+T68))</f>
        <v>0</v>
      </c>
      <c r="U100" s="431"/>
      <c r="V100" s="370">
        <f>IF($F$6="no",0,SUM(V98+V90+V85+V68))</f>
        <v>0</v>
      </c>
      <c r="W100" s="431"/>
      <c r="X100" s="370">
        <f>IF($F$6="no",0,SUM(X98+X90+X85+X68))</f>
        <v>0</v>
      </c>
      <c r="Y100" s="431"/>
      <c r="Z100" s="370">
        <f>IF($F$6="no",0,SUM(Z98+Z90+Z85+Z68))</f>
        <v>0</v>
      </c>
      <c r="AA100" s="431"/>
      <c r="AB100" s="372">
        <f>IF($F$6="no",0,SUM(AB98+AB90+AB85+AB68))</f>
        <v>0</v>
      </c>
      <c r="AC100" s="374"/>
      <c r="AD100" s="372">
        <f>IF($F$6="no",0,SUM(AD98+AD90+AD85+AD68))</f>
        <v>0</v>
      </c>
      <c r="AE100" s="374"/>
      <c r="AF100" s="372">
        <f>IF($F$6="no",0,SUM(AF98+AF90+AF85+AF68))</f>
        <v>0</v>
      </c>
      <c r="AG100" s="374"/>
      <c r="AH100" s="372">
        <f>IF($F$6="no",0,SUM(AH98+AH90+AH85+AH68))</f>
        <v>0</v>
      </c>
      <c r="AI100" s="374"/>
      <c r="AJ100" s="372">
        <f>IF($F$6="no",0,SUM(AJ98+AJ90+AJ85+AJ68))</f>
        <v>0</v>
      </c>
      <c r="AK100" s="374"/>
      <c r="AL100" s="372">
        <f>IF($F$6="no",0,SUM(AL98+AL90+AL85+AL68))</f>
        <v>0</v>
      </c>
      <c r="AM100" s="374"/>
      <c r="AN100" s="372">
        <f>IF($F$6="no",0,SUM(AN98+AN90+AN85+AN68))</f>
        <v>0</v>
      </c>
      <c r="AO100" s="372"/>
      <c r="AP100" s="375">
        <f>IF($F$6="no",0,SUM(AP98+AP90+AP85+AP68))</f>
        <v>0</v>
      </c>
      <c r="AQ100" s="344">
        <f>ABS(SUMIF(V100:AP100,"&gt;0")-SUMIF(V100:AP100,"&lt;0"))</f>
        <v>0</v>
      </c>
      <c r="AR100" s="308"/>
      <c r="AS100" s="420"/>
    </row>
    <row r="101" spans="1:45" ht="9.9499999999999993" hidden="1" customHeight="1">
      <c r="B101" s="271" t="str">
        <f>B100</f>
        <v>Hide</v>
      </c>
      <c r="E101" s="336" t="str">
        <f>IF($F$22=0,0,IF(OR($F$14="No",VALUE($F$22)&lt;=399,VALUE($F$22)&gt;499),"500000..564999|566000..579999","500000..552016|552028..552039|552046..564999|566000..579999"))</f>
        <v>500000..564999|566000..579999</v>
      </c>
      <c r="F101" s="300"/>
      <c r="H101" s="433">
        <v>58100</v>
      </c>
      <c r="N101" s="274"/>
      <c r="P101" s="283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402"/>
      <c r="AL101" s="402"/>
      <c r="AM101" s="402"/>
      <c r="AN101" s="402"/>
      <c r="AO101" s="383"/>
      <c r="AP101" s="402"/>
      <c r="AQ101" s="308"/>
      <c r="AR101" s="308"/>
      <c r="AS101" s="420"/>
    </row>
    <row r="102" spans="1:45" ht="15" hidden="1" customHeight="1">
      <c r="B102" s="271" t="str">
        <f>IF(AQ105=0,"Hide","Show")</f>
        <v>Hide</v>
      </c>
      <c r="N102" s="274"/>
      <c r="P102" s="283"/>
      <c r="R102" s="414" t="s">
        <v>445</v>
      </c>
      <c r="S102" s="308"/>
      <c r="T102" s="308"/>
      <c r="U102" s="308"/>
      <c r="V102" s="308"/>
      <c r="W102" s="308"/>
      <c r="X102" s="308"/>
      <c r="Y102" s="308"/>
      <c r="Z102" s="308"/>
      <c r="AA102" s="308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402"/>
      <c r="AL102" s="402"/>
      <c r="AM102" s="402"/>
      <c r="AN102" s="402"/>
      <c r="AO102" s="383"/>
      <c r="AP102" s="402"/>
      <c r="AQ102" s="344"/>
      <c r="AR102" s="308"/>
      <c r="AS102" s="420"/>
    </row>
    <row r="103" spans="1:45" ht="15.6" hidden="1" customHeight="1">
      <c r="A103" s="271" t="s">
        <v>236</v>
      </c>
      <c r="B103" s="271" t="str">
        <f>IF(AQ103=0,"Hide","Show")</f>
        <v>Hide</v>
      </c>
      <c r="K103" s="337"/>
      <c r="L103" s="275" t="str">
        <f>$F$22</f>
        <v>204</v>
      </c>
      <c r="M103" s="275" t="str">
        <f>$J$7</f>
        <v>10/1/2016..9/30/2017</v>
      </c>
      <c r="N103" s="274" t="str">
        <f>$D$6</f>
        <v>HARMONY CDD</v>
      </c>
      <c r="O103" s="387" t="str">
        <f>IF(K103="","500000 58100",K103&amp;" "&amp;"58100")</f>
        <v>500000 58100</v>
      </c>
      <c r="P103" s="283">
        <f>K103</f>
        <v>0</v>
      </c>
      <c r="R103" s="389"/>
      <c r="S103" s="308"/>
      <c r="T103" s="428">
        <v>0</v>
      </c>
      <c r="U103" s="401"/>
      <c r="V103" s="428">
        <v>0</v>
      </c>
      <c r="W103" s="349"/>
      <c r="X103" s="428">
        <v>0</v>
      </c>
      <c r="Y103" s="349"/>
      <c r="Z103" s="428">
        <v>0</v>
      </c>
      <c r="AA103" s="349"/>
      <c r="AB103" s="354">
        <v>0</v>
      </c>
      <c r="AC103" s="351"/>
      <c r="AD103" s="354">
        <v>0</v>
      </c>
      <c r="AE103" s="354"/>
      <c r="AF103" s="354">
        <v>0</v>
      </c>
      <c r="AG103" s="354"/>
      <c r="AH103" s="354">
        <v>0</v>
      </c>
      <c r="AI103" s="354"/>
      <c r="AJ103" s="391">
        <v>0</v>
      </c>
      <c r="AK103" s="354"/>
      <c r="AL103" s="350">
        <f>IF(ISERROR(AH103+AJ103),0,(AH103+AJ103))</f>
        <v>0</v>
      </c>
      <c r="AM103" s="354"/>
      <c r="AN103" s="354">
        <v>0</v>
      </c>
      <c r="AO103" s="354"/>
      <c r="AP103" s="391">
        <f>IF($F$13="YES",AF103,AN103)</f>
        <v>0</v>
      </c>
      <c r="AQ103" s="344">
        <f>ABS(SUMIF(V103:AP103,"&gt;0")-SUMIF(V103:AP103,"&lt;0"))</f>
        <v>0</v>
      </c>
      <c r="AR103" s="308"/>
      <c r="AS103" s="742"/>
    </row>
    <row r="104" spans="1:45" ht="3.95" hidden="1" customHeight="1">
      <c r="B104" s="274" t="s">
        <v>31</v>
      </c>
      <c r="P104" s="283"/>
      <c r="R104" s="308"/>
      <c r="S104" s="308"/>
      <c r="T104" s="401"/>
      <c r="U104" s="308"/>
      <c r="V104" s="401"/>
      <c r="W104" s="308"/>
      <c r="X104" s="401"/>
      <c r="Y104" s="308"/>
      <c r="Z104" s="401"/>
      <c r="AA104" s="308"/>
      <c r="AB104" s="383"/>
      <c r="AC104" s="402"/>
      <c r="AD104" s="383"/>
      <c r="AE104" s="402"/>
      <c r="AF104" s="383"/>
      <c r="AG104" s="402"/>
      <c r="AH104" s="383"/>
      <c r="AI104" s="402"/>
      <c r="AJ104" s="383"/>
      <c r="AK104" s="402"/>
      <c r="AL104" s="383"/>
      <c r="AM104" s="402"/>
      <c r="AN104" s="383"/>
      <c r="AO104" s="383"/>
      <c r="AP104" s="383"/>
      <c r="AQ104" s="308"/>
      <c r="AR104" s="308"/>
      <c r="AS104" s="420"/>
    </row>
    <row r="105" spans="1:45" hidden="1">
      <c r="B105" s="271" t="str">
        <f>IF(AQ105=0,"Hide","Show")</f>
        <v>Hide</v>
      </c>
      <c r="P105" s="283"/>
      <c r="R105" s="417" t="s">
        <v>448</v>
      </c>
      <c r="S105" s="322"/>
      <c r="T105" s="393">
        <f>SUM(T103:T104)</f>
        <v>0</v>
      </c>
      <c r="U105" s="322"/>
      <c r="V105" s="393">
        <f>SUM(V103:V104)</f>
        <v>0</v>
      </c>
      <c r="W105" s="404"/>
      <c r="X105" s="393">
        <f>SUM(X103:X104)</f>
        <v>0</v>
      </c>
      <c r="Y105" s="404"/>
      <c r="Z105" s="393">
        <f>SUM(Z103:Z104)</f>
        <v>0</v>
      </c>
      <c r="AA105" s="404"/>
      <c r="AB105" s="394">
        <f>SUM(AB103:AB104)</f>
        <v>0</v>
      </c>
      <c r="AC105" s="405"/>
      <c r="AD105" s="394">
        <f>SUM(AD103:AD104)</f>
        <v>0</v>
      </c>
      <c r="AE105" s="386"/>
      <c r="AF105" s="394">
        <f>SUM(AF103:AF104)</f>
        <v>0</v>
      </c>
      <c r="AG105" s="405"/>
      <c r="AH105" s="394">
        <f>SUM(AH103:AH104)</f>
        <v>0</v>
      </c>
      <c r="AI105" s="405"/>
      <c r="AJ105" s="394">
        <f>SUM(AJ103:AJ104)</f>
        <v>0</v>
      </c>
      <c r="AK105" s="405"/>
      <c r="AL105" s="394">
        <f>SUM(AL103:AL104)</f>
        <v>0</v>
      </c>
      <c r="AM105" s="405"/>
      <c r="AN105" s="394">
        <f>SUM(AN103:AN104)</f>
        <v>0</v>
      </c>
      <c r="AO105" s="405"/>
      <c r="AP105" s="394">
        <f>SUM(AP103:AP104)</f>
        <v>0</v>
      </c>
      <c r="AQ105" s="344">
        <f>ABS(SUMIF(V105:AP105,"&gt;0")-SUMIF(V105:AP105,"&lt;0"))</f>
        <v>0</v>
      </c>
      <c r="AR105" s="308"/>
      <c r="AS105" s="692"/>
    </row>
    <row r="106" spans="1:45" ht="9.9499999999999993" hidden="1" customHeight="1">
      <c r="B106" s="271" t="str">
        <f>B105</f>
        <v>Hide</v>
      </c>
      <c r="P106" s="283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402"/>
      <c r="AC106" s="402"/>
      <c r="AD106" s="402"/>
      <c r="AE106" s="402"/>
      <c r="AF106" s="402"/>
      <c r="AG106" s="402"/>
      <c r="AH106" s="402"/>
      <c r="AI106" s="402"/>
      <c r="AJ106" s="402"/>
      <c r="AK106" s="402"/>
      <c r="AL106" s="402"/>
      <c r="AM106" s="402"/>
      <c r="AN106" s="402"/>
      <c r="AO106" s="383"/>
      <c r="AP106" s="402"/>
      <c r="AQ106" s="308"/>
      <c r="AR106" s="308"/>
      <c r="AS106" s="692"/>
    </row>
    <row r="107" spans="1:45" ht="15" customHeight="1">
      <c r="B107" s="271" t="s">
        <v>62</v>
      </c>
      <c r="N107" s="436" t="str">
        <f>IF(AQ105=0,""," &amp; RESERVES")</f>
        <v/>
      </c>
      <c r="P107" s="283"/>
      <c r="R107" s="368" t="str">
        <f>TRIM(IF(AND($F$22&gt;"399",$F$22&lt;"500"),"TOTAL OPERATING EXPENSES"&amp;N107,"TOTAL EXPENDITURES"&amp;N107))</f>
        <v>TOTAL EXPENDITURES</v>
      </c>
      <c r="S107" s="431"/>
      <c r="T107" s="370">
        <f>SUM(T98+T90+T85+T68+T105)</f>
        <v>337079</v>
      </c>
      <c r="U107" s="431"/>
      <c r="V107" s="370">
        <f>SUM(V98+V90+V85+V68+V105)</f>
        <v>0</v>
      </c>
      <c r="W107" s="431"/>
      <c r="X107" s="370">
        <f>SUM(X98+X90+X85+X68+X105)</f>
        <v>0</v>
      </c>
      <c r="Y107" s="431"/>
      <c r="Z107" s="370">
        <f>SUM(Z98+Z90+Z85+Z68+Z105)</f>
        <v>0</v>
      </c>
      <c r="AA107" s="431"/>
      <c r="AB107" s="372">
        <f>SUM(AB98+AB90+AB85+AB68+AB105)</f>
        <v>338250</v>
      </c>
      <c r="AC107" s="374"/>
      <c r="AD107" s="372">
        <f>SUM(AD98+AD90+AD85+AD68+AD105)</f>
        <v>0</v>
      </c>
      <c r="AE107" s="374"/>
      <c r="AF107" s="372">
        <f>SUM(AF98+AF90+AF85+AF68+AF105)</f>
        <v>1059715</v>
      </c>
      <c r="AG107" s="374"/>
      <c r="AH107" s="372">
        <f ca="1">SUM(AH98+AH90+AH85+AH68+AH105)</f>
        <v>1059715.125</v>
      </c>
      <c r="AI107" s="374"/>
      <c r="AJ107" s="372">
        <f ca="1">SUM(AJ98+AJ90+AJ85+AJ68+AJ105)</f>
        <v>0</v>
      </c>
      <c r="AK107" s="374"/>
      <c r="AL107" s="372">
        <f ca="1">SUM(AL98+AL90+AL85+AL68+AL105)</f>
        <v>1059715.125</v>
      </c>
      <c r="AM107" s="374"/>
      <c r="AN107" s="372">
        <f>SUM(AN98+AN90+AN85+AN68+AN105)</f>
        <v>0</v>
      </c>
      <c r="AO107" s="372"/>
      <c r="AP107" s="375">
        <f>SUM(AP98+AP90+AP85+AP68+AP105)</f>
        <v>1065688.25</v>
      </c>
      <c r="AQ107" s="344">
        <f ca="1">ABS(SUMIF(V107:AP107,"&gt;0")-SUMIF(V107:AP107,"&lt;0"))</f>
        <v>4583083.5</v>
      </c>
      <c r="AR107" s="308"/>
      <c r="AS107" s="692"/>
    </row>
    <row r="108" spans="1:45" ht="15.6" customHeight="1">
      <c r="E108" s="376"/>
      <c r="F108" s="271"/>
      <c r="G108" s="271"/>
      <c r="H108" s="271"/>
      <c r="K108" s="377"/>
      <c r="L108" s="280"/>
      <c r="M108" s="280"/>
      <c r="O108" s="280"/>
      <c r="P108" s="280"/>
      <c r="Q108" s="320"/>
      <c r="R108" s="378" t="s">
        <v>333</v>
      </c>
      <c r="S108" s="379"/>
      <c r="T108" s="380"/>
      <c r="U108" s="379"/>
      <c r="V108" s="380"/>
      <c r="W108" s="379"/>
      <c r="X108" s="380"/>
      <c r="Y108" s="379"/>
      <c r="Z108" s="380"/>
      <c r="AA108" s="379"/>
      <c r="AB108" s="381"/>
      <c r="AC108" s="382"/>
      <c r="AD108" s="381"/>
      <c r="AE108" s="383"/>
      <c r="AF108" s="381"/>
      <c r="AG108" s="383"/>
      <c r="AH108" s="381"/>
      <c r="AI108" s="383"/>
      <c r="AJ108" s="381"/>
      <c r="AK108" s="383"/>
      <c r="AL108" s="384">
        <f ca="1">ROUND(AF107-AL107,0)</f>
        <v>0</v>
      </c>
      <c r="AM108" s="381"/>
      <c r="AN108" s="381"/>
      <c r="AO108" s="381"/>
      <c r="AP108" s="381"/>
      <c r="AQ108" s="380"/>
      <c r="AR108" s="308"/>
      <c r="AS108" s="385" t="s">
        <v>449</v>
      </c>
    </row>
    <row r="109" spans="1:45" ht="9.9499999999999993" customHeight="1">
      <c r="B109" s="271" t="s">
        <v>62</v>
      </c>
      <c r="P109" s="283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402"/>
      <c r="AC109" s="402"/>
      <c r="AD109" s="402"/>
      <c r="AE109" s="402"/>
      <c r="AF109" s="402"/>
      <c r="AG109" s="402"/>
      <c r="AH109" s="402"/>
      <c r="AI109" s="402"/>
      <c r="AJ109" s="402"/>
      <c r="AK109" s="402"/>
      <c r="AL109" s="411"/>
      <c r="AM109" s="402"/>
      <c r="AN109" s="402"/>
      <c r="AO109" s="383"/>
      <c r="AP109" s="402"/>
      <c r="AQ109" s="308"/>
      <c r="AR109" s="308"/>
      <c r="AS109" s="692"/>
    </row>
    <row r="110" spans="1:45" s="314" customFormat="1" ht="15" customHeight="1">
      <c r="B110" s="314" t="str">
        <f>IF(R110="","Hide","Show")</f>
        <v>Show</v>
      </c>
      <c r="K110" s="687"/>
      <c r="P110" s="320"/>
      <c r="R110" s="442" t="str">
        <f>IF(AND($F$22&gt;"399",$F$22&lt;"500"),"","Excess (deficiency) of revenues")</f>
        <v>Excess (deficiency) of revenues</v>
      </c>
      <c r="S110" s="315"/>
      <c r="T110" s="315"/>
      <c r="U110" s="315"/>
      <c r="AB110" s="443">
        <f>SUM(AB52-AB107-AB58)</f>
        <v>-338188</v>
      </c>
      <c r="AC110" s="444"/>
      <c r="AD110" s="444"/>
      <c r="AE110" s="444"/>
      <c r="AF110" s="444">
        <f>SUM(AF52-AF107-AF58)</f>
        <v>5312</v>
      </c>
      <c r="AG110" s="444"/>
      <c r="AH110" s="444">
        <f ca="1">SUM(AH52-AH107-AH58)</f>
        <v>24502.875</v>
      </c>
      <c r="AI110" s="444"/>
      <c r="AJ110" s="444">
        <f ca="1">SUM(AJ52-AJ107-AJ58)</f>
        <v>63</v>
      </c>
      <c r="AK110" s="444"/>
      <c r="AL110" s="444">
        <f ca="1">SUM(AL52-AL107-AL58)</f>
        <v>24565.875</v>
      </c>
      <c r="AM110" s="444"/>
      <c r="AN110" s="444"/>
      <c r="AO110" s="444"/>
      <c r="AP110" s="445">
        <f>SUM(AP52-AP107-AP58)</f>
        <v>5762.1936337216757</v>
      </c>
      <c r="AR110" s="315"/>
      <c r="AS110" s="446" t="s">
        <v>537</v>
      </c>
    </row>
    <row r="111" spans="1:45" ht="15" hidden="1" customHeight="1">
      <c r="B111" s="271" t="s">
        <v>62</v>
      </c>
      <c r="P111" s="283"/>
      <c r="R111" s="748" t="str">
        <f>IF(AND($F$22&gt;"399",$F$22&lt;"500"),"Operating income (loss)","Over (under) expenditures")</f>
        <v>Over (under) expenditures</v>
      </c>
      <c r="S111" s="308"/>
      <c r="T111" s="749">
        <f>SUM(T52-T107-T58)</f>
        <v>128516</v>
      </c>
      <c r="U111" s="308"/>
      <c r="V111" s="577">
        <f>SUM(V52-V107-V58)</f>
        <v>0</v>
      </c>
      <c r="W111" s="571"/>
      <c r="X111" s="577">
        <f>SUM(X52-X107-X58)</f>
        <v>0</v>
      </c>
      <c r="Y111" s="571"/>
      <c r="Z111" s="577">
        <f>SUM(Z52-Z107-Z58)</f>
        <v>0</v>
      </c>
      <c r="AA111" s="571"/>
      <c r="AB111" s="688">
        <f>SUM(AB52-AB107-AB58)</f>
        <v>-338188</v>
      </c>
      <c r="AC111" s="668"/>
      <c r="AD111" s="688">
        <f>SUM(AD52-AD107-AD58)</f>
        <v>0</v>
      </c>
      <c r="AE111" s="668"/>
      <c r="AF111" s="688">
        <f>SUM(AF52-AF107-AF58)</f>
        <v>5312</v>
      </c>
      <c r="AG111" s="668"/>
      <c r="AH111" s="688">
        <f ca="1">SUM(AH52-AH107-AH58)</f>
        <v>24502.875</v>
      </c>
      <c r="AI111" s="668"/>
      <c r="AJ111" s="688">
        <f ca="1">SUM(AJ52-AJ107-AJ58)</f>
        <v>63</v>
      </c>
      <c r="AK111" s="668"/>
      <c r="AL111" s="688">
        <f ca="1">SUM(AL52-AL107-AL58)</f>
        <v>24565.875</v>
      </c>
      <c r="AM111" s="668"/>
      <c r="AN111" s="688">
        <f>SUM(AN52-AN107-AN58)</f>
        <v>0</v>
      </c>
      <c r="AO111" s="668"/>
      <c r="AP111" s="688">
        <f>SUM(AP52-AP107-AP58)</f>
        <v>5762.1936337216757</v>
      </c>
      <c r="AQ111" s="534">
        <f ca="1">ABS(SUMIF(V111:AP111,"&gt;0")-SUMIF(V111:AP111,"&lt;0"))</f>
        <v>398393.94363372168</v>
      </c>
      <c r="AR111" s="308"/>
      <c r="AS111" s="692"/>
    </row>
    <row r="112" spans="1:45" s="308" customFormat="1" ht="9.9499999999999993" customHeight="1">
      <c r="B112" s="308" t="s">
        <v>62</v>
      </c>
      <c r="E112" s="322"/>
      <c r="F112" s="322"/>
      <c r="G112" s="322"/>
      <c r="H112" s="322"/>
      <c r="K112" s="306"/>
      <c r="L112" s="306"/>
      <c r="M112" s="306"/>
      <c r="P112" s="310"/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2"/>
      <c r="AL112" s="402"/>
      <c r="AM112" s="402"/>
      <c r="AN112" s="402"/>
      <c r="AO112" s="383"/>
      <c r="AP112" s="402"/>
      <c r="AS112" s="692"/>
    </row>
    <row r="113" spans="1:45" s="308" customFormat="1" hidden="1">
      <c r="B113" s="308" t="s">
        <v>31</v>
      </c>
      <c r="E113" s="322"/>
      <c r="F113" s="322"/>
      <c r="G113" s="322"/>
      <c r="H113" s="322"/>
      <c r="K113" s="306"/>
      <c r="L113" s="306"/>
      <c r="M113" s="306"/>
      <c r="P113" s="310"/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02"/>
      <c r="AL113" s="402"/>
      <c r="AM113" s="402"/>
      <c r="AN113" s="402"/>
      <c r="AO113" s="383"/>
      <c r="AP113" s="402"/>
      <c r="AS113" s="692"/>
    </row>
    <row r="114" spans="1:45" s="308" customFormat="1" hidden="1">
      <c r="B114" s="308" t="s">
        <v>31</v>
      </c>
      <c r="G114" s="322"/>
      <c r="K114" s="306"/>
      <c r="L114" s="306"/>
      <c r="M114" s="306"/>
      <c r="P114" s="310"/>
      <c r="T114" s="388">
        <f>IF(AND(VALUE($F$22)&gt;399,VALUE($F$22)&lt;500),0,IF(OR($F$11="NO",T$1="HIDE",T$4="ACTUAL"),0,T111+T123))</f>
        <v>0</v>
      </c>
      <c r="V114" s="388">
        <f>IF(AND(VALUE($F$22)&gt;399,VALUE($F$22)&lt;500),0,IF(OR($F$11="NO",V$1="HIDE",V$4="ACTUAL"),0,V111+V123))</f>
        <v>0</v>
      </c>
      <c r="X114" s="388">
        <f>IF(AND(VALUE($F$22)&gt;399,VALUE($F$22)&lt;500),0,IF(OR($F$11="NO",X$1="HIDE",X$4="ACTUAL"),0,X111+X123))</f>
        <v>0</v>
      </c>
      <c r="Z114" s="388">
        <f>IF(AND(VALUE($F$22)&gt;399,VALUE($F$22)&lt;500),0,IF(OR($F$11="NO",Z$1="HIDE",Z$4="ACTUAL"),0,Z111+Z123))</f>
        <v>0</v>
      </c>
      <c r="AB114" s="354">
        <f>IF(AND(VALUE($F$22)&gt;399,VALUE($F$22)&lt;500),0,IF(OR($F$11="NO",AB$1="HIDE",AB$4="ACTUAL"),0,AB111+AB123))</f>
        <v>0</v>
      </c>
      <c r="AC114" s="402"/>
      <c r="AD114" s="354">
        <f>IF(AND(VALUE($F$22)&gt;399,VALUE($F$22)&lt;500),0,IF(OR($F$11="NO",AD$1="HIDE",AD$4="ACTUAL"),0,AD111+AD123))</f>
        <v>0</v>
      </c>
      <c r="AE114" s="402"/>
      <c r="AF114" s="354">
        <f>IF(AND(VALUE($F$22)&gt;399,VALUE($F$22)&lt;500),0,IF(OR($F$11="NO",AF$1="HIDE",AF$4="ACTUAL"),0,AF111+AF123))</f>
        <v>5312</v>
      </c>
      <c r="AG114" s="402"/>
      <c r="AH114" s="354">
        <f>IF(AND(VALUE($F$22)&gt;399,VALUE($F$22)&lt;500),0,IF(OR($F$11="NO",AH$1="HIDE",AH$4="ACTUAL"),0,AH111+AH123))</f>
        <v>0</v>
      </c>
      <c r="AI114" s="402"/>
      <c r="AJ114" s="354">
        <v>0</v>
      </c>
      <c r="AK114" s="402"/>
      <c r="AL114" s="350">
        <v>0</v>
      </c>
      <c r="AM114" s="350"/>
      <c r="AN114" s="350">
        <f>IF(AND(VALUE($F$22)&gt;399,VALUE($F$22)&lt;500),0,IF(OR($F$11="NO",AN$1="HIDE",AN$4="ACTUAL"),0,AN111+AN123))</f>
        <v>0</v>
      </c>
      <c r="AO114" s="350"/>
      <c r="AP114" s="350">
        <f>IF(AND(VALUE($F$22)&gt;399,VALUE($F$22)&lt;500),0,IF(OR($F$11="NO",AP$1="HIDE",AP$4="ACTUAL"),0,AP111+AP123))</f>
        <v>5762.1936337216757</v>
      </c>
      <c r="AS114" s="692"/>
    </row>
    <row r="115" spans="1:45" s="308" customFormat="1" ht="15" customHeight="1">
      <c r="B115" s="308" t="str">
        <f>IF(OR($F$11="Yes",$AQ124&lt;&gt;0),"Show",IF($AQ124=0,"Hide","Show"))</f>
        <v>Show</v>
      </c>
      <c r="E115" s="322" t="s">
        <v>451</v>
      </c>
      <c r="F115" s="322"/>
      <c r="G115" s="322"/>
      <c r="H115" s="322"/>
      <c r="K115" s="306"/>
      <c r="L115" s="306"/>
      <c r="M115" s="306"/>
      <c r="P115" s="310"/>
      <c r="R115" s="315" t="s">
        <v>452</v>
      </c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02"/>
      <c r="AL115" s="402"/>
      <c r="AM115" s="402"/>
      <c r="AN115" s="402"/>
      <c r="AO115" s="383"/>
      <c r="AP115" s="402"/>
      <c r="AS115" s="692"/>
    </row>
    <row r="116" spans="1:45" s="308" customFormat="1" ht="0.95" customHeight="1">
      <c r="B116" s="306" t="str">
        <f>B115</f>
        <v>Show</v>
      </c>
      <c r="E116" s="322"/>
      <c r="F116" s="322"/>
      <c r="G116" s="322"/>
      <c r="H116" s="322"/>
      <c r="K116" s="306"/>
      <c r="L116" s="306"/>
      <c r="M116" s="306"/>
      <c r="P116" s="310"/>
      <c r="AB116" s="402"/>
      <c r="AC116" s="402"/>
      <c r="AD116" s="402"/>
      <c r="AE116" s="402"/>
      <c r="AF116" s="402"/>
      <c r="AG116" s="402"/>
      <c r="AH116" s="402"/>
      <c r="AI116" s="402"/>
      <c r="AJ116" s="402"/>
      <c r="AK116" s="402"/>
      <c r="AL116" s="402"/>
      <c r="AM116" s="402"/>
      <c r="AN116" s="402"/>
      <c r="AO116" s="383"/>
      <c r="AP116" s="402"/>
      <c r="AS116" s="692"/>
    </row>
    <row r="117" spans="1:45" s="308" customFormat="1" ht="15.6" customHeight="1">
      <c r="A117" s="308" t="s">
        <v>236</v>
      </c>
      <c r="B117" s="308" t="str">
        <f t="shared" ref="B117:B121" si="19">IF(AQ117=0,"Hide","Show")</f>
        <v>Show</v>
      </c>
      <c r="E117" s="322"/>
      <c r="F117" s="322"/>
      <c r="G117" s="322"/>
      <c r="H117" s="322"/>
      <c r="K117" s="312" t="s">
        <v>453</v>
      </c>
      <c r="L117" s="312" t="str">
        <f t="shared" ref="L117:L121" si="20">$F$22</f>
        <v>204</v>
      </c>
      <c r="M117" s="312" t="str">
        <f t="shared" ref="M117:M121" si="21">$J$7</f>
        <v>10/1/2016..9/30/2017</v>
      </c>
      <c r="N117" s="308" t="str">
        <f t="shared" ref="N117:N121" si="22">$D$6</f>
        <v>HARMONY CDD</v>
      </c>
      <c r="O117" s="313" t="str">
        <f t="shared" ref="O117:O121" si="23">IF(K117="","399998",K117)</f>
        <v>381000</v>
      </c>
      <c r="P117" s="310" t="str">
        <f t="shared" ref="P117:P121" si="24">K117</f>
        <v>381000</v>
      </c>
      <c r="R117" s="389" t="s">
        <v>454</v>
      </c>
      <c r="T117" s="459">
        <v>0</v>
      </c>
      <c r="V117" s="459">
        <v>0</v>
      </c>
      <c r="W117" s="459"/>
      <c r="X117" s="459">
        <v>0</v>
      </c>
      <c r="Y117" s="459"/>
      <c r="Z117" s="459">
        <v>0</v>
      </c>
      <c r="AA117" s="459"/>
      <c r="AB117" s="352">
        <v>16712</v>
      </c>
      <c r="AC117" s="352"/>
      <c r="AD117" s="352">
        <v>0</v>
      </c>
      <c r="AE117" s="352"/>
      <c r="AF117" s="352">
        <v>0</v>
      </c>
      <c r="AG117" s="352"/>
      <c r="AH117" s="352">
        <v>0</v>
      </c>
      <c r="AI117" s="352"/>
      <c r="AJ117" s="460">
        <v>0</v>
      </c>
      <c r="AK117" s="352"/>
      <c r="AL117" s="352">
        <f t="shared" ref="AL117:AL121" si="25">IF(ISERROR(AH117+AJ117),0,(AH117+AJ117))</f>
        <v>0</v>
      </c>
      <c r="AM117" s="352"/>
      <c r="AN117" s="352">
        <v>0</v>
      </c>
      <c r="AO117" s="386"/>
      <c r="AP117" s="460">
        <f t="shared" ref="AP117:AP121" si="26">IF($F$13="YES",AF117,AN117)</f>
        <v>0</v>
      </c>
      <c r="AQ117" s="344">
        <f t="shared" ref="AQ117:AQ121" si="27">ABS(SUMIF(V117:AP117,"&gt;0")-SUMIF(V117:AP117,"&lt;0"))</f>
        <v>16712</v>
      </c>
      <c r="AS117" s="750"/>
    </row>
    <row r="118" spans="1:45" s="308" customFormat="1" ht="15.6" customHeight="1">
      <c r="A118" s="308" t="s">
        <v>311</v>
      </c>
      <c r="B118" s="308" t="str">
        <f t="shared" si="19"/>
        <v>Show</v>
      </c>
      <c r="E118" s="322"/>
      <c r="F118" s="322"/>
      <c r="G118" s="322"/>
      <c r="H118" s="322"/>
      <c r="K118" s="312" t="str">
        <f>"384020"</f>
        <v>384020</v>
      </c>
      <c r="L118" s="312" t="str">
        <f t="shared" si="20"/>
        <v>204</v>
      </c>
      <c r="M118" s="312" t="str">
        <f t="shared" si="21"/>
        <v>10/1/2016..9/30/2017</v>
      </c>
      <c r="N118" s="308" t="str">
        <f t="shared" si="22"/>
        <v>HARMONY CDD</v>
      </c>
      <c r="O118" s="313" t="str">
        <f t="shared" si="23"/>
        <v>384020</v>
      </c>
      <c r="P118" s="310" t="str">
        <f t="shared" si="24"/>
        <v>384020</v>
      </c>
      <c r="R118" s="389" t="s">
        <v>558</v>
      </c>
      <c r="T118" s="459">
        <v>0</v>
      </c>
      <c r="V118" s="459">
        <v>0</v>
      </c>
      <c r="W118" s="459"/>
      <c r="X118" s="459">
        <v>0</v>
      </c>
      <c r="Y118" s="459"/>
      <c r="Z118" s="459">
        <v>0</v>
      </c>
      <c r="AA118" s="459"/>
      <c r="AB118" s="352">
        <v>366008</v>
      </c>
      <c r="AC118" s="352"/>
      <c r="AD118" s="352">
        <v>0</v>
      </c>
      <c r="AE118" s="352"/>
      <c r="AF118" s="352">
        <v>0</v>
      </c>
      <c r="AG118" s="352"/>
      <c r="AH118" s="352">
        <v>0</v>
      </c>
      <c r="AI118" s="352"/>
      <c r="AJ118" s="460">
        <v>0</v>
      </c>
      <c r="AK118" s="352"/>
      <c r="AL118" s="352">
        <f t="shared" si="25"/>
        <v>0</v>
      </c>
      <c r="AM118" s="352"/>
      <c r="AN118" s="352">
        <v>0</v>
      </c>
      <c r="AO118" s="386"/>
      <c r="AP118" s="460">
        <f t="shared" si="26"/>
        <v>0</v>
      </c>
      <c r="AQ118" s="344">
        <f t="shared" si="27"/>
        <v>366008</v>
      </c>
      <c r="AS118" s="750"/>
    </row>
    <row r="119" spans="1:45" s="308" customFormat="1" ht="15.6" customHeight="1">
      <c r="A119" s="308" t="s">
        <v>311</v>
      </c>
      <c r="B119" s="308" t="str">
        <f t="shared" si="19"/>
        <v>Show</v>
      </c>
      <c r="E119" s="322"/>
      <c r="F119" s="322"/>
      <c r="G119" s="322"/>
      <c r="H119" s="322"/>
      <c r="K119" s="312" t="str">
        <f>"385000"</f>
        <v>385000</v>
      </c>
      <c r="L119" s="312" t="str">
        <f t="shared" si="20"/>
        <v>204</v>
      </c>
      <c r="M119" s="312" t="str">
        <f t="shared" si="21"/>
        <v>10/1/2016..9/30/2017</v>
      </c>
      <c r="N119" s="308" t="str">
        <f t="shared" si="22"/>
        <v>HARMONY CDD</v>
      </c>
      <c r="O119" s="313" t="str">
        <f t="shared" si="23"/>
        <v>385000</v>
      </c>
      <c r="P119" s="310" t="str">
        <f t="shared" si="24"/>
        <v>385000</v>
      </c>
      <c r="R119" s="389" t="s">
        <v>538</v>
      </c>
      <c r="T119" s="459">
        <v>0</v>
      </c>
      <c r="V119" s="459">
        <v>0</v>
      </c>
      <c r="W119" s="459"/>
      <c r="X119" s="459">
        <v>0</v>
      </c>
      <c r="Y119" s="459"/>
      <c r="Z119" s="459">
        <v>0</v>
      </c>
      <c r="AA119" s="459"/>
      <c r="AB119" s="352">
        <v>13184870</v>
      </c>
      <c r="AC119" s="352"/>
      <c r="AD119" s="352">
        <v>0</v>
      </c>
      <c r="AE119" s="352"/>
      <c r="AF119" s="352">
        <v>0</v>
      </c>
      <c r="AG119" s="352"/>
      <c r="AH119" s="352">
        <v>0</v>
      </c>
      <c r="AI119" s="352"/>
      <c r="AJ119" s="460">
        <v>0</v>
      </c>
      <c r="AK119" s="352"/>
      <c r="AL119" s="352">
        <f t="shared" si="25"/>
        <v>0</v>
      </c>
      <c r="AM119" s="352"/>
      <c r="AN119" s="352">
        <v>0</v>
      </c>
      <c r="AO119" s="386"/>
      <c r="AP119" s="460">
        <f t="shared" si="26"/>
        <v>0</v>
      </c>
      <c r="AQ119" s="344">
        <f t="shared" si="27"/>
        <v>13184870</v>
      </c>
      <c r="AS119" s="750"/>
    </row>
    <row r="120" spans="1:45" s="308" customFormat="1" ht="15.6" hidden="1" customHeight="1">
      <c r="A120" s="308" t="s">
        <v>311</v>
      </c>
      <c r="B120" s="308" t="str">
        <f t="shared" si="19"/>
        <v>Hide</v>
      </c>
      <c r="E120" s="322"/>
      <c r="F120" s="322"/>
      <c r="G120" s="322"/>
      <c r="H120" s="322"/>
      <c r="K120" s="312" t="str">
        <f>"591000"</f>
        <v>591000</v>
      </c>
      <c r="L120" s="312" t="str">
        <f t="shared" si="20"/>
        <v>204</v>
      </c>
      <c r="M120" s="312" t="str">
        <f t="shared" si="21"/>
        <v>10/1/2016..9/30/2017</v>
      </c>
      <c r="N120" s="308" t="str">
        <f t="shared" si="22"/>
        <v>HARMONY CDD</v>
      </c>
      <c r="O120" s="313" t="str">
        <f t="shared" si="23"/>
        <v>591000</v>
      </c>
      <c r="P120" s="310" t="str">
        <f t="shared" si="24"/>
        <v>591000</v>
      </c>
      <c r="R120" s="389" t="s">
        <v>456</v>
      </c>
      <c r="T120" s="459">
        <v>0</v>
      </c>
      <c r="V120" s="459">
        <v>0</v>
      </c>
      <c r="W120" s="459"/>
      <c r="X120" s="459">
        <v>0</v>
      </c>
      <c r="Y120" s="459"/>
      <c r="Z120" s="459">
        <v>0</v>
      </c>
      <c r="AA120" s="459"/>
      <c r="AB120" s="352">
        <v>0</v>
      </c>
      <c r="AC120" s="352"/>
      <c r="AD120" s="352">
        <v>0</v>
      </c>
      <c r="AE120" s="352"/>
      <c r="AF120" s="352">
        <v>0</v>
      </c>
      <c r="AG120" s="352"/>
      <c r="AH120" s="352">
        <v>0</v>
      </c>
      <c r="AI120" s="352"/>
      <c r="AJ120" s="460">
        <v>0</v>
      </c>
      <c r="AK120" s="352"/>
      <c r="AL120" s="352">
        <f t="shared" si="25"/>
        <v>0</v>
      </c>
      <c r="AM120" s="352"/>
      <c r="AN120" s="352">
        <v>0</v>
      </c>
      <c r="AO120" s="386"/>
      <c r="AP120" s="460">
        <f t="shared" si="26"/>
        <v>0</v>
      </c>
      <c r="AQ120" s="344">
        <f t="shared" si="27"/>
        <v>0</v>
      </c>
      <c r="AS120" s="750"/>
    </row>
    <row r="121" spans="1:45" s="308" customFormat="1" ht="15.6" customHeight="1">
      <c r="A121" s="308" t="s">
        <v>311</v>
      </c>
      <c r="B121" s="308" t="str">
        <f t="shared" si="19"/>
        <v>Show</v>
      </c>
      <c r="E121" s="322"/>
      <c r="F121" s="322"/>
      <c r="G121" s="322"/>
      <c r="H121" s="322"/>
      <c r="K121" s="312" t="str">
        <f>"591100"</f>
        <v>591100</v>
      </c>
      <c r="L121" s="312" t="str">
        <f t="shared" si="20"/>
        <v>204</v>
      </c>
      <c r="M121" s="312" t="str">
        <f t="shared" si="21"/>
        <v>10/1/2016..9/30/2017</v>
      </c>
      <c r="N121" s="308" t="str">
        <f t="shared" si="22"/>
        <v>HARMONY CDD</v>
      </c>
      <c r="O121" s="313" t="str">
        <f t="shared" si="23"/>
        <v>591100</v>
      </c>
      <c r="P121" s="310" t="str">
        <f t="shared" si="24"/>
        <v>591100</v>
      </c>
      <c r="R121" s="389" t="s">
        <v>490</v>
      </c>
      <c r="T121" s="459">
        <v>0</v>
      </c>
      <c r="V121" s="459">
        <v>0</v>
      </c>
      <c r="W121" s="459"/>
      <c r="X121" s="459">
        <v>0</v>
      </c>
      <c r="Y121" s="459"/>
      <c r="Z121" s="459">
        <v>0</v>
      </c>
      <c r="AA121" s="459"/>
      <c r="AB121" s="352">
        <v>-12872628</v>
      </c>
      <c r="AC121" s="352"/>
      <c r="AD121" s="352">
        <v>0</v>
      </c>
      <c r="AE121" s="352"/>
      <c r="AF121" s="352">
        <v>0</v>
      </c>
      <c r="AG121" s="352"/>
      <c r="AH121" s="352">
        <v>0</v>
      </c>
      <c r="AI121" s="352"/>
      <c r="AJ121" s="460">
        <v>0</v>
      </c>
      <c r="AK121" s="352"/>
      <c r="AL121" s="352">
        <f t="shared" si="25"/>
        <v>0</v>
      </c>
      <c r="AM121" s="352"/>
      <c r="AN121" s="352">
        <v>0</v>
      </c>
      <c r="AO121" s="386"/>
      <c r="AP121" s="460">
        <f t="shared" si="26"/>
        <v>0</v>
      </c>
      <c r="AQ121" s="344">
        <f t="shared" si="27"/>
        <v>12872628</v>
      </c>
      <c r="AS121" s="750"/>
    </row>
    <row r="122" spans="1:45" s="308" customFormat="1" ht="7.5" hidden="1" customHeight="1">
      <c r="B122" s="308" t="s">
        <v>31</v>
      </c>
      <c r="E122" s="322"/>
      <c r="F122" s="322"/>
      <c r="G122" s="322"/>
      <c r="H122" s="322"/>
      <c r="K122" s="306"/>
      <c r="L122" s="306"/>
      <c r="M122" s="306"/>
      <c r="P122" s="310"/>
      <c r="R122" s="389"/>
      <c r="T122" s="459"/>
      <c r="V122" s="459"/>
      <c r="W122" s="459"/>
      <c r="X122" s="459"/>
      <c r="Y122" s="459"/>
      <c r="Z122" s="459"/>
      <c r="AA122" s="459"/>
      <c r="AB122" s="352"/>
      <c r="AC122" s="352"/>
      <c r="AD122" s="352"/>
      <c r="AE122" s="352"/>
      <c r="AF122" s="352"/>
      <c r="AG122" s="352"/>
      <c r="AH122" s="352"/>
      <c r="AI122" s="352"/>
      <c r="AJ122" s="352"/>
      <c r="AK122" s="352"/>
      <c r="AL122" s="352"/>
      <c r="AM122" s="352"/>
      <c r="AN122" s="352"/>
      <c r="AO122" s="386"/>
      <c r="AP122" s="352"/>
      <c r="AQ122" s="344"/>
      <c r="AS122" s="692"/>
    </row>
    <row r="123" spans="1:45" s="308" customFormat="1" ht="15" hidden="1" customHeight="1">
      <c r="B123" s="308" t="s">
        <v>31</v>
      </c>
      <c r="E123" s="322"/>
      <c r="F123" s="322"/>
      <c r="G123" s="322"/>
      <c r="H123" s="322"/>
      <c r="K123" s="306"/>
      <c r="L123" s="306"/>
      <c r="M123" s="306"/>
      <c r="P123" s="310"/>
      <c r="T123" s="388">
        <f>SUM(T116:T122)</f>
        <v>0</v>
      </c>
      <c r="V123" s="388">
        <f>SUM(V116:V122)</f>
        <v>0</v>
      </c>
      <c r="X123" s="388">
        <f>SUM(X116:X122)</f>
        <v>0</v>
      </c>
      <c r="Z123" s="388">
        <f>SUM(Z116:Z122)</f>
        <v>0</v>
      </c>
      <c r="AB123" s="354">
        <f>SUM(AB116:AB122)</f>
        <v>694962</v>
      </c>
      <c r="AC123" s="402"/>
      <c r="AD123" s="354">
        <f>SUM(AD116:AD122)</f>
        <v>0</v>
      </c>
      <c r="AE123" s="402"/>
      <c r="AF123" s="354">
        <f>SUM(AF116:AF122)</f>
        <v>0</v>
      </c>
      <c r="AG123" s="402"/>
      <c r="AH123" s="354">
        <f>SUM(AH116:AH122)</f>
        <v>0</v>
      </c>
      <c r="AI123" s="402"/>
      <c r="AJ123" s="354">
        <f>SUM(AJ116:AJ122)</f>
        <v>0</v>
      </c>
      <c r="AK123" s="402"/>
      <c r="AL123" s="354">
        <f>SUM(AL116:AL122)</f>
        <v>0</v>
      </c>
      <c r="AM123" s="402"/>
      <c r="AN123" s="354">
        <f>SUM(AN116:AN122)</f>
        <v>0</v>
      </c>
      <c r="AO123" s="354"/>
      <c r="AP123" s="354">
        <f>SUM(AP116:AP122)</f>
        <v>0</v>
      </c>
      <c r="AQ123" s="344">
        <f t="shared" ref="AQ123:AQ124" si="28">ABS(SUMIF(V123:AP123,"&gt;0")-SUMIF(V123:AP123,"&lt;0"))</f>
        <v>694962</v>
      </c>
      <c r="AS123" s="420"/>
    </row>
    <row r="124" spans="1:45" s="308" customFormat="1" ht="15.6" customHeight="1">
      <c r="A124" s="308" t="s">
        <v>236</v>
      </c>
      <c r="B124" s="308" t="str">
        <f>IF(OR($F$11="Yes",$AQ124&lt;&gt;0),"Show",IF($AQ124=0,"Hide","Show"))</f>
        <v>Show</v>
      </c>
      <c r="E124" s="322"/>
      <c r="F124" s="322"/>
      <c r="G124" s="322"/>
      <c r="H124" s="322"/>
      <c r="K124" s="312">
        <v>590550</v>
      </c>
      <c r="L124" s="312" t="str">
        <f>$F$22</f>
        <v>204</v>
      </c>
      <c r="M124" s="312" t="str">
        <f>$J$7</f>
        <v>10/1/2016..9/30/2017</v>
      </c>
      <c r="N124" s="308" t="str">
        <f>$D$6</f>
        <v>HARMONY CDD</v>
      </c>
      <c r="O124" s="313">
        <f>K124</f>
        <v>590550</v>
      </c>
      <c r="P124" s="310">
        <v>599999</v>
      </c>
      <c r="R124" s="461" t="s">
        <v>457</v>
      </c>
      <c r="T124" s="428">
        <f>IF(OR(T$4="ACTUAL",T$1="hide"),0,T$114)</f>
        <v>0</v>
      </c>
      <c r="V124" s="428">
        <f>IF(OR(V$4="ACTUAL",V$1="hide"),0,V$114)</f>
        <v>0</v>
      </c>
      <c r="X124" s="428">
        <f>IF(OR(X$4="ACTUAL",X$1="hide"),0,X$114)</f>
        <v>0</v>
      </c>
      <c r="Z124" s="428">
        <f>IF(OR(Z$4="ACTUAL",Z$1="hide"),0,Z$114)</f>
        <v>0</v>
      </c>
      <c r="AB124" s="354">
        <f>IF(OR(AB$4="ACTUAL",AB$1="hide"),0,AB$114)</f>
        <v>0</v>
      </c>
      <c r="AC124" s="402"/>
      <c r="AD124" s="354">
        <f>IF(OR(AD$4="ACTUAL",AD$1="hide"),0,AD$114)</f>
        <v>0</v>
      </c>
      <c r="AE124" s="402"/>
      <c r="AF124" s="354">
        <f>IF(OR(AF$4="ACTUAL",AF$1="hide"),0,AF$114)</f>
        <v>5312</v>
      </c>
      <c r="AG124" s="402"/>
      <c r="AH124" s="354">
        <f>IF(OR(AH$4="ACTUAL",AH$1="hide"),0,AH$114)</f>
        <v>0</v>
      </c>
      <c r="AI124" s="402"/>
      <c r="AJ124" s="391">
        <f>IF(OR(AJ$4="ACTUAL",AJ$1="hide"),0,AJ$114)</f>
        <v>0</v>
      </c>
      <c r="AK124" s="402"/>
      <c r="AL124" s="354">
        <f>IF(ISERROR(AH124+AJ124),0,(AH124+AJ124))</f>
        <v>0</v>
      </c>
      <c r="AM124" s="402"/>
      <c r="AN124" s="354">
        <f>IF(OR(AN$4="ACTUAL",AN$1="hide"),0,AN$114)</f>
        <v>0</v>
      </c>
      <c r="AO124" s="354"/>
      <c r="AP124" s="391">
        <f>IF(OR(AP$4="ACTUAL",AP$1="hide"),0,AP$114)</f>
        <v>5762.1936337216757</v>
      </c>
      <c r="AQ124" s="344">
        <f t="shared" si="28"/>
        <v>11074.193633721676</v>
      </c>
      <c r="AS124" s="751"/>
    </row>
    <row r="125" spans="1:45" s="308" customFormat="1" ht="3.95" customHeight="1">
      <c r="B125" s="306" t="str">
        <f>B126</f>
        <v>Show</v>
      </c>
      <c r="E125" s="322"/>
      <c r="F125" s="322"/>
      <c r="G125" s="322"/>
      <c r="H125" s="322"/>
      <c r="K125" s="306"/>
      <c r="L125" s="306"/>
      <c r="M125" s="306"/>
      <c r="P125" s="310"/>
      <c r="AB125" s="402"/>
      <c r="AC125" s="402"/>
      <c r="AD125" s="402"/>
      <c r="AE125" s="402"/>
      <c r="AF125" s="402"/>
      <c r="AG125" s="402"/>
      <c r="AH125" s="402"/>
      <c r="AI125" s="402"/>
      <c r="AJ125" s="402"/>
      <c r="AK125" s="402"/>
      <c r="AL125" s="402"/>
      <c r="AM125" s="402"/>
      <c r="AN125" s="402"/>
      <c r="AO125" s="383"/>
      <c r="AP125" s="402"/>
      <c r="AS125" s="420"/>
    </row>
    <row r="126" spans="1:45" s="308" customFormat="1" ht="15" customHeight="1">
      <c r="B126" s="308" t="str">
        <f>IF(OR($F$11="Yes",$AQ126&lt;&gt;0),"Show",IF($AQ126=0,"Hide","Show"))</f>
        <v>Show</v>
      </c>
      <c r="E126" s="322"/>
      <c r="F126" s="322"/>
      <c r="G126" s="322"/>
      <c r="H126" s="322"/>
      <c r="K126" s="306"/>
      <c r="L126" s="306"/>
      <c r="M126" s="306"/>
      <c r="P126" s="310"/>
      <c r="R126" s="368" t="s">
        <v>458</v>
      </c>
      <c r="S126" s="431"/>
      <c r="T126" s="370">
        <f>SUM(T123:T124)</f>
        <v>0</v>
      </c>
      <c r="U126" s="431"/>
      <c r="V126" s="370">
        <f>SUM(V123:V124)</f>
        <v>0</v>
      </c>
      <c r="W126" s="431"/>
      <c r="X126" s="370">
        <f>SUM(X123:X124)</f>
        <v>0</v>
      </c>
      <c r="Y126" s="431"/>
      <c r="Z126" s="370">
        <f>SUM(Z123:Z124)</f>
        <v>0</v>
      </c>
      <c r="AA126" s="431"/>
      <c r="AB126" s="372">
        <f>SUM(AB123:AB124)</f>
        <v>694962</v>
      </c>
      <c r="AC126" s="374"/>
      <c r="AD126" s="372">
        <f>SUM(AD123:AD124)</f>
        <v>0</v>
      </c>
      <c r="AE126" s="374"/>
      <c r="AF126" s="372">
        <f>SUM(AF123:AF124)</f>
        <v>5312</v>
      </c>
      <c r="AG126" s="374"/>
      <c r="AH126" s="372">
        <f>SUM(AH123:AH124)</f>
        <v>0</v>
      </c>
      <c r="AI126" s="374"/>
      <c r="AJ126" s="372">
        <f>SUM(AJ123:AJ124)</f>
        <v>0</v>
      </c>
      <c r="AK126" s="374"/>
      <c r="AL126" s="372">
        <f>SUM(AL123:AL124)</f>
        <v>0</v>
      </c>
      <c r="AM126" s="374"/>
      <c r="AN126" s="372">
        <f>SUM(AN123:AN124)</f>
        <v>0</v>
      </c>
      <c r="AO126" s="372"/>
      <c r="AP126" s="375">
        <f>SUM(AP123:AP124)</f>
        <v>5762.1936337216757</v>
      </c>
      <c r="AQ126" s="344">
        <f>ABS(SUMIF(V126:AP126,"&gt;0")-SUMIF(V126:AP126,"&lt;0"))</f>
        <v>706036.19363372168</v>
      </c>
      <c r="AS126" s="692"/>
    </row>
    <row r="127" spans="1:45" s="308" customFormat="1" ht="9.9499999999999993" customHeight="1">
      <c r="B127" s="308" t="str">
        <f>B126</f>
        <v>Show</v>
      </c>
      <c r="E127" s="322"/>
      <c r="F127" s="322"/>
      <c r="G127" s="322"/>
      <c r="H127" s="322"/>
      <c r="K127" s="306"/>
      <c r="L127" s="306"/>
      <c r="M127" s="306"/>
      <c r="P127" s="310"/>
      <c r="AB127" s="402"/>
      <c r="AC127" s="402"/>
      <c r="AD127" s="402"/>
      <c r="AE127" s="402"/>
      <c r="AF127" s="402"/>
      <c r="AG127" s="402"/>
      <c r="AH127" s="402"/>
      <c r="AI127" s="402"/>
      <c r="AJ127" s="402"/>
      <c r="AK127" s="402"/>
      <c r="AL127" s="402"/>
      <c r="AM127" s="402"/>
      <c r="AN127" s="402"/>
      <c r="AO127" s="383"/>
      <c r="AP127" s="402"/>
      <c r="AS127" s="692"/>
    </row>
    <row r="128" spans="1:45" s="315" customFormat="1" ht="15" customHeight="1">
      <c r="B128" s="315" t="s">
        <v>62</v>
      </c>
      <c r="P128" s="307"/>
      <c r="R128" s="315" t="str">
        <f>IF(AND($F$22&gt;"399",$F$22&lt;"500"),"Change in net assets","Net change in fund balance")</f>
        <v>Net change in fund balance</v>
      </c>
      <c r="T128" s="689">
        <f>IF(T$4="ACTUAL",SUM(T126+T111),SUM(T126+T111+(IF(ABS(T114)&lt;0.49,0,-T114))))</f>
        <v>128516</v>
      </c>
      <c r="V128" s="689">
        <f>IF(V$4="ACTUAL",SUM(V126+V111),SUM(V126+V111+(IF(ABS(V114)&lt;0.49,0,-V114))))</f>
        <v>0</v>
      </c>
      <c r="X128" s="689">
        <f>IF(X$4="ACTUAL",SUM(X126+X111),SUM(X126+X111+(IF(ABS(X114)&lt;0.49,0,-X114))))</f>
        <v>0</v>
      </c>
      <c r="Z128" s="689">
        <f>IF(Z$4="ACTUAL",SUM(Z126+Z111),SUM(Z126+Z111+(IF(ABS(Z114)&lt;0.49,0,-Z114))))</f>
        <v>0</v>
      </c>
      <c r="AB128" s="463">
        <f>IF(AB$4="ACTUAL",SUM(AB126+AB111),SUM(AB126+AB111+(IF(ABS(AB114)&lt;0.49,0,-AB114))))</f>
        <v>356774</v>
      </c>
      <c r="AC128" s="690"/>
      <c r="AD128" s="691">
        <f>IF(AD$4="ACTUAL",SUM(AD126+AD111),SUM(AD126+AD111+(IF(ABS(AD114)&lt;0.49,0,-AD114))))</f>
        <v>0</v>
      </c>
      <c r="AE128" s="690"/>
      <c r="AF128" s="463">
        <f>IF(AF$4="ACTUAL",SUM(AF126+AF111),SUM(AF126+AF111+(IF(ABS(AF114)&lt;0.49,0,-AF114))))</f>
        <v>5312</v>
      </c>
      <c r="AG128" s="690"/>
      <c r="AH128" s="463">
        <f ca="1">IF(AH$4="ACTUAL",SUM(AH126+AH111),SUM(AH126+AH111+(IF(ABS(AH114)&lt;0.49,0,-AH114))))</f>
        <v>24502.875</v>
      </c>
      <c r="AI128" s="690"/>
      <c r="AJ128" s="463">
        <f ca="1">IF(AJ$4="ACTUAL",SUM(AJ126+AJ111),SUM(AJ126+AJ111+(IF(ABS(AJ114)&lt;0.49,0,-AJ114))))</f>
        <v>63</v>
      </c>
      <c r="AK128" s="690"/>
      <c r="AL128" s="463">
        <f ca="1">IF(AL$4="ACTUAL",SUM(AL126+AL111),SUM(AL126+AL111+(IF(ABS(AL114)&lt;0.49,0,-AL114))))</f>
        <v>24565.875</v>
      </c>
      <c r="AM128" s="690"/>
      <c r="AN128" s="691">
        <f>IF(AN$4="ACTUAL",SUM(AN126+AN111),SUM(AN126+AN111+(IF(ABS(AN114)&lt;0.49,0,-AN114))))</f>
        <v>0</v>
      </c>
      <c r="AO128" s="425"/>
      <c r="AP128" s="463">
        <f>IF(AP$4="ACTUAL",SUM(AP126+AP111),SUM(AP126+AP111+(IF(ABS(AP114)&lt;0.49,0,-AP114))))</f>
        <v>5762.1936337216757</v>
      </c>
      <c r="AQ128" s="424">
        <f ca="1">ABS(SUMIF(V128:AP128,"&gt;0")-SUMIF(V128:AP128,"&lt;0"))</f>
        <v>416979.94363372168</v>
      </c>
      <c r="AS128" s="446"/>
    </row>
    <row r="129" spans="1:45" s="308" customFormat="1" ht="9.9499999999999993" customHeight="1">
      <c r="B129" s="308" t="s">
        <v>62</v>
      </c>
      <c r="E129" s="322"/>
      <c r="F129" s="322"/>
      <c r="G129" s="322"/>
      <c r="H129" s="322"/>
      <c r="K129" s="306"/>
      <c r="L129" s="306"/>
      <c r="M129" s="306"/>
      <c r="P129" s="310"/>
      <c r="AB129" s="402"/>
      <c r="AC129" s="402"/>
      <c r="AD129" s="402"/>
      <c r="AE129" s="402"/>
      <c r="AF129" s="402"/>
      <c r="AG129" s="402"/>
      <c r="AH129" s="402"/>
      <c r="AI129" s="402"/>
      <c r="AJ129" s="402"/>
      <c r="AK129" s="402"/>
      <c r="AL129" s="402"/>
      <c r="AM129" s="402"/>
      <c r="AN129" s="402"/>
      <c r="AO129" s="383"/>
      <c r="AP129" s="402"/>
      <c r="AS129" s="692"/>
    </row>
    <row r="130" spans="1:45" s="308" customFormat="1" ht="15" hidden="1" customHeight="1">
      <c r="B130" s="308" t="s">
        <v>31</v>
      </c>
      <c r="E130" s="322"/>
      <c r="F130" s="322"/>
      <c r="G130" s="322"/>
      <c r="H130" s="322"/>
      <c r="K130" s="306"/>
      <c r="L130" s="306"/>
      <c r="M130" s="306"/>
      <c r="O130" s="752" t="s">
        <v>459</v>
      </c>
      <c r="P130" s="753">
        <v>391000</v>
      </c>
      <c r="R130" s="389" t="s">
        <v>460</v>
      </c>
      <c r="T130" s="459">
        <v>0</v>
      </c>
      <c r="V130" s="459">
        <v>0</v>
      </c>
      <c r="W130" s="459"/>
      <c r="X130" s="459">
        <v>0</v>
      </c>
      <c r="Y130" s="459"/>
      <c r="Z130" s="459">
        <v>0</v>
      </c>
      <c r="AA130" s="459"/>
      <c r="AB130" s="352">
        <v>0</v>
      </c>
      <c r="AC130" s="352"/>
      <c r="AD130" s="352">
        <v>0</v>
      </c>
      <c r="AE130" s="352"/>
      <c r="AF130" s="352">
        <v>0</v>
      </c>
      <c r="AG130" s="352"/>
      <c r="AH130" s="352">
        <v>0</v>
      </c>
      <c r="AI130" s="352"/>
      <c r="AJ130" s="352">
        <v>0</v>
      </c>
      <c r="AK130" s="352"/>
      <c r="AL130" s="352">
        <f>AH130+AJ130</f>
        <v>0</v>
      </c>
      <c r="AM130" s="352"/>
      <c r="AN130" s="352">
        <v>0</v>
      </c>
      <c r="AO130" s="386"/>
      <c r="AP130" s="352">
        <v>0</v>
      </c>
      <c r="AQ130" s="344">
        <f t="shared" ref="AQ130:AQ133" si="29">ABS(SUMIF(V130:AP130,"&gt;0")-SUMIF(V130:AP130,"&lt;0"))</f>
        <v>0</v>
      </c>
      <c r="AS130" s="692"/>
    </row>
    <row r="131" spans="1:45" s="308" customFormat="1" ht="15" hidden="1" customHeight="1">
      <c r="B131" s="308" t="s">
        <v>31</v>
      </c>
      <c r="E131" s="322"/>
      <c r="F131" s="322"/>
      <c r="G131" s="322"/>
      <c r="H131" s="322"/>
      <c r="K131" s="306"/>
      <c r="L131" s="306"/>
      <c r="M131" s="306"/>
      <c r="O131" s="754"/>
      <c r="P131" s="753"/>
      <c r="R131" s="322" t="s">
        <v>461</v>
      </c>
      <c r="T131" s="468">
        <v>0</v>
      </c>
      <c r="V131" s="468">
        <v>0</v>
      </c>
      <c r="W131" s="453"/>
      <c r="X131" s="468">
        <v>0</v>
      </c>
      <c r="Y131" s="453"/>
      <c r="Z131" s="468">
        <v>0</v>
      </c>
      <c r="AA131" s="453"/>
      <c r="AB131" s="354">
        <v>0</v>
      </c>
      <c r="AC131" s="402"/>
      <c r="AD131" s="352"/>
      <c r="AE131" s="402"/>
      <c r="AF131" s="352">
        <f>AH131</f>
        <v>0</v>
      </c>
      <c r="AG131" s="402"/>
      <c r="AH131" s="352">
        <f>$Z$164</f>
        <v>0</v>
      </c>
      <c r="AI131" s="402"/>
      <c r="AJ131" s="354">
        <v>0</v>
      </c>
      <c r="AK131" s="402"/>
      <c r="AL131" s="352"/>
      <c r="AM131" s="402"/>
      <c r="AN131" s="354">
        <v>0</v>
      </c>
      <c r="AO131" s="354"/>
      <c r="AP131" s="354">
        <v>0</v>
      </c>
      <c r="AQ131" s="344">
        <f t="shared" si="29"/>
        <v>0</v>
      </c>
      <c r="AS131" s="692"/>
    </row>
    <row r="132" spans="1:45" s="308" customFormat="1" ht="15" hidden="1" customHeight="1">
      <c r="B132" s="308" t="s">
        <v>31</v>
      </c>
      <c r="E132" s="322"/>
      <c r="F132" s="322"/>
      <c r="G132" s="322"/>
      <c r="H132" s="322"/>
      <c r="K132" s="306"/>
      <c r="L132" s="306"/>
      <c r="M132" s="306"/>
      <c r="O132" s="754"/>
      <c r="P132" s="753"/>
      <c r="R132" s="469" t="s">
        <v>462</v>
      </c>
      <c r="S132" s="388"/>
      <c r="T132" s="388">
        <f>ABS(T52)+ABS(T107)+ABS(T126)</f>
        <v>802674</v>
      </c>
      <c r="U132" s="388"/>
      <c r="V132" s="388">
        <f>ABS(V52)+ABS(V107)+ABS(V126)</f>
        <v>0</v>
      </c>
      <c r="W132" s="388"/>
      <c r="X132" s="388">
        <f>ABS(X52)+ABS(X107)+ABS(X126)</f>
        <v>0</v>
      </c>
      <c r="Y132" s="388"/>
      <c r="Z132" s="388">
        <f>ABS(Z52)+ABS(Z107)+ABS(Z126)</f>
        <v>0</v>
      </c>
      <c r="AA132" s="388"/>
      <c r="AB132" s="354">
        <f>ABS(AB52)+ABS(AB107)+ABS(AB126)</f>
        <v>1033274</v>
      </c>
      <c r="AC132" s="354"/>
      <c r="AD132" s="354">
        <f>ABS(AD52)+ABS(AD107)+ABS(AD126)</f>
        <v>0</v>
      </c>
      <c r="AE132" s="354"/>
      <c r="AF132" s="354">
        <f>ABS(AF52)+ABS(AF107)+ABS(AF126)</f>
        <v>2130054</v>
      </c>
      <c r="AG132" s="354"/>
      <c r="AH132" s="354">
        <f ca="1">ABS(AH52)+ABS(AH107)+ABS(AH126)</f>
        <v>2143933.125</v>
      </c>
      <c r="AI132" s="354"/>
      <c r="AJ132" s="354">
        <v>0</v>
      </c>
      <c r="AK132" s="354"/>
      <c r="AL132" s="354">
        <f t="shared" ref="AL132:AL133" ca="1" si="30">AH132+AJ132</f>
        <v>2143933.125</v>
      </c>
      <c r="AM132" s="354"/>
      <c r="AN132" s="354">
        <v>0</v>
      </c>
      <c r="AO132" s="354"/>
      <c r="AP132" s="354">
        <v>0</v>
      </c>
      <c r="AQ132" s="344">
        <f t="shared" ca="1" si="29"/>
        <v>7451194.25</v>
      </c>
      <c r="AS132" s="692"/>
    </row>
    <row r="133" spans="1:45" s="322" customFormat="1" ht="15" customHeight="1">
      <c r="B133" s="322" t="s">
        <v>62</v>
      </c>
      <c r="O133" s="752" t="s">
        <v>459</v>
      </c>
      <c r="P133" s="753">
        <v>391000</v>
      </c>
      <c r="R133" s="328" t="str">
        <f>IF(AND($F$22&gt;"399",$F$22&lt;"500"),"TOTAL NET ASSETS, BEGINNING","FUND BALANCE, BEGINNING")</f>
        <v>FUND BALANCE, BEGINNING</v>
      </c>
      <c r="T133" s="459">
        <v>356774</v>
      </c>
      <c r="V133" s="459">
        <f>IF(V$1="Show",V135-V130-V128,0)</f>
        <v>0</v>
      </c>
      <c r="W133" s="459"/>
      <c r="X133" s="459">
        <f>IF(X$1="Show",X135-X130-X128,0)</f>
        <v>0</v>
      </c>
      <c r="Y133" s="459"/>
      <c r="Z133" s="459">
        <f>IF(Z$1="Show",Z135-Z130-Z128,0)</f>
        <v>0</v>
      </c>
      <c r="AA133" s="459"/>
      <c r="AB133" s="352">
        <f>IF(AB$1="Show",AB135-AB130-AB128,0)</f>
        <v>0</v>
      </c>
      <c r="AC133" s="352"/>
      <c r="AD133" s="352">
        <v>0</v>
      </c>
      <c r="AE133" s="352"/>
      <c r="AF133" s="352">
        <f>IF(OR($O133="",AF$1="HIDE"),0,IF(AND(AF$4="BUDGET",AF$132=0),0,AH133))</f>
        <v>356774</v>
      </c>
      <c r="AG133" s="352"/>
      <c r="AH133" s="352">
        <v>356774</v>
      </c>
      <c r="AI133" s="352"/>
      <c r="AJ133" s="352">
        <v>0</v>
      </c>
      <c r="AK133" s="352"/>
      <c r="AL133" s="352">
        <f t="shared" si="30"/>
        <v>356774</v>
      </c>
      <c r="AM133" s="352"/>
      <c r="AN133" s="352">
        <v>0</v>
      </c>
      <c r="AO133" s="386"/>
      <c r="AP133" s="352">
        <f ca="1">AL135</f>
        <v>381339.875</v>
      </c>
      <c r="AQ133" s="388">
        <f t="shared" ca="1" si="29"/>
        <v>1451661.875</v>
      </c>
      <c r="AS133" s="692"/>
    </row>
    <row r="134" spans="1:45" s="308" customFormat="1" ht="9.9499999999999993" customHeight="1">
      <c r="B134" s="308" t="s">
        <v>62</v>
      </c>
      <c r="E134" s="322"/>
      <c r="F134" s="322"/>
      <c r="G134" s="322"/>
      <c r="H134" s="322"/>
      <c r="K134" s="306"/>
      <c r="L134" s="306"/>
      <c r="M134" s="306"/>
      <c r="P134" s="310"/>
      <c r="AB134" s="402"/>
      <c r="AC134" s="402"/>
      <c r="AD134" s="402"/>
      <c r="AE134" s="402"/>
      <c r="AF134" s="402"/>
      <c r="AG134" s="402"/>
      <c r="AH134" s="402"/>
      <c r="AI134" s="402"/>
      <c r="AJ134" s="402"/>
      <c r="AK134" s="402"/>
      <c r="AL134" s="402"/>
      <c r="AM134" s="402"/>
      <c r="AN134" s="402"/>
      <c r="AO134" s="383"/>
      <c r="AP134" s="402"/>
      <c r="AS134" s="692"/>
    </row>
    <row r="135" spans="1:45" s="308" customFormat="1" ht="15" customHeight="1">
      <c r="B135" s="308" t="s">
        <v>62</v>
      </c>
      <c r="E135" s="322"/>
      <c r="F135" s="322"/>
      <c r="G135" s="322"/>
      <c r="H135" s="322"/>
      <c r="K135" s="306"/>
      <c r="L135" s="306"/>
      <c r="M135" s="306"/>
      <c r="P135" s="310"/>
      <c r="R135" s="334" t="str">
        <f>IF(AND($F$22&gt;"399",$F$22&lt;"500"),"TOTAL NET ASSETS, ENDING","FUND BALANCE, ENDING")</f>
        <v>FUND BALANCE, ENDING</v>
      </c>
      <c r="T135" s="470">
        <f>SUM(T128+T133)</f>
        <v>485290</v>
      </c>
      <c r="U135" s="315"/>
      <c r="V135" s="470">
        <f>IF(V$1="Hide",0,X133)</f>
        <v>0</v>
      </c>
      <c r="W135" s="315"/>
      <c r="X135" s="470">
        <f>IF(X$1="Hide",0,Z133)</f>
        <v>0</v>
      </c>
      <c r="Y135" s="315"/>
      <c r="Z135" s="470">
        <f>IF(Z$1="Hide",0,AB133)</f>
        <v>0</v>
      </c>
      <c r="AA135" s="315"/>
      <c r="AB135" s="471">
        <f>IF(AB$1="Hide",0,AF133)</f>
        <v>356774</v>
      </c>
      <c r="AC135" s="472"/>
      <c r="AD135" s="471">
        <f>SUM(AD128+AD133)</f>
        <v>0</v>
      </c>
      <c r="AE135" s="472"/>
      <c r="AF135" s="471">
        <f>SUM(AF128+AF133)</f>
        <v>362086</v>
      </c>
      <c r="AG135" s="472"/>
      <c r="AH135" s="471">
        <f ca="1">SUM(AH128+AH133)</f>
        <v>381276.875</v>
      </c>
      <c r="AI135" s="472"/>
      <c r="AJ135" s="471">
        <f ca="1">SUM(AJ128+AJ133)</f>
        <v>63</v>
      </c>
      <c r="AK135" s="472"/>
      <c r="AL135" s="471">
        <f ca="1">SUM(AL128+AL133)</f>
        <v>381339.875</v>
      </c>
      <c r="AM135" s="472"/>
      <c r="AN135" s="471">
        <f>SUM(AN128+AN133)</f>
        <v>0</v>
      </c>
      <c r="AO135" s="473"/>
      <c r="AP135" s="471">
        <f ca="1">SUM(AP128+AP133)</f>
        <v>387102.06863372168</v>
      </c>
      <c r="AQ135" s="344">
        <f ca="1">ABS(SUMIF(V135:AP135,"&gt;0")-SUMIF(V135:AP135,"&lt;0"))</f>
        <v>1868641.8186337217</v>
      </c>
      <c r="AS135" s="692"/>
    </row>
    <row r="136" spans="1:45" ht="15" hidden="1" customHeight="1">
      <c r="B136" s="271" t="str">
        <f t="shared" ref="B136:B147" si="31">B137</f>
        <v>Hide</v>
      </c>
      <c r="P136" s="283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M136" s="308"/>
      <c r="AN136" s="308"/>
      <c r="AO136" s="401"/>
      <c r="AP136" s="308"/>
      <c r="AQ136" s="308"/>
      <c r="AR136" s="308"/>
      <c r="AS136" s="692"/>
    </row>
    <row r="137" spans="1:45" ht="15" hidden="1" customHeight="1">
      <c r="B137" s="271" t="str">
        <f t="shared" si="31"/>
        <v>Hide</v>
      </c>
      <c r="P137" s="283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M137" s="308"/>
      <c r="AN137" s="308"/>
      <c r="AO137" s="401"/>
      <c r="AP137" s="308"/>
      <c r="AQ137" s="344">
        <f ca="1">SUM(AQ34:AQ135)</f>
        <v>61831777.605436042</v>
      </c>
      <c r="AR137" s="308"/>
      <c r="AS137" s="692"/>
    </row>
    <row r="138" spans="1:45" hidden="1">
      <c r="B138" s="271" t="str">
        <f t="shared" si="31"/>
        <v>Hide</v>
      </c>
      <c r="P138" s="283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M138" s="308"/>
      <c r="AN138" s="308"/>
      <c r="AO138" s="401"/>
      <c r="AP138" s="308"/>
      <c r="AQ138" s="308"/>
      <c r="AR138" s="308"/>
      <c r="AS138" s="692"/>
    </row>
    <row r="139" spans="1:45" hidden="1">
      <c r="B139" s="271" t="str">
        <f t="shared" si="31"/>
        <v>Hide</v>
      </c>
      <c r="P139" s="283"/>
      <c r="R139" s="308"/>
      <c r="S139" s="308"/>
      <c r="T139" s="474" t="s">
        <v>301</v>
      </c>
      <c r="U139" s="308"/>
      <c r="V139" s="308" t="str">
        <f>IF($V31="","",$V31)</f>
        <v/>
      </c>
      <c r="W139" s="308"/>
      <c r="X139" s="308" t="str">
        <f>IF($V31="","",$V31)</f>
        <v/>
      </c>
      <c r="Y139" s="308"/>
      <c r="Z139" s="308" t="str">
        <f>IF($V31="","",$V31)</f>
        <v/>
      </c>
      <c r="AA139" s="308"/>
      <c r="AB139" s="474" t="str">
        <f t="shared" ref="AB139:AB141" si="32">IF(AB31="","",AB31)</f>
        <v/>
      </c>
      <c r="AC139" s="308"/>
      <c r="AD139" s="474" t="str">
        <f t="shared" ref="AD139:AD141" si="33">IF(AD31="","",AD31)</f>
        <v>ADOPTED</v>
      </c>
      <c r="AE139" s="308"/>
      <c r="AF139" s="474" t="str">
        <f t="shared" ref="AF139:AF141" si="34">IF(AF31="","",AF31)</f>
        <v>ADOPTED</v>
      </c>
      <c r="AG139" s="308"/>
      <c r="AH139" s="474" t="str">
        <f t="shared" ref="AH139:AH141" si="35">IF(AH31="","",AH31)</f>
        <v xml:space="preserve">ACTUAL </v>
      </c>
      <c r="AI139" s="308"/>
      <c r="AJ139" s="474" t="str">
        <f t="shared" ref="AJ139:AJ141" si="36">IF(AJ31="","",AJ31)</f>
        <v>PROJECTED</v>
      </c>
      <c r="AK139" s="308"/>
      <c r="AL139" s="596" t="str">
        <f t="shared" ref="AL139:AL141" si="37">IF(AL31="","",AL31)</f>
        <v>TOTAL</v>
      </c>
      <c r="AM139" s="308"/>
      <c r="AN139" s="474" t="str">
        <f t="shared" ref="AN139:AN141" si="38">IF(AN31="","",AN31)</f>
        <v>NAVIGATOR</v>
      </c>
      <c r="AO139" s="401"/>
      <c r="AP139" s="474" t="str">
        <f t="shared" ref="AP139:AP141" si="39">IF(AP31="","",AP31)</f>
        <v>ANNUAL</v>
      </c>
      <c r="AQ139" s="308"/>
      <c r="AR139" s="308"/>
      <c r="AS139" s="692"/>
    </row>
    <row r="140" spans="1:45" hidden="1">
      <c r="B140" s="271" t="str">
        <f t="shared" si="31"/>
        <v>Hide</v>
      </c>
      <c r="P140" s="283"/>
      <c r="R140" s="308"/>
      <c r="S140" s="308"/>
      <c r="T140" s="474" t="str">
        <f t="shared" ref="T140:T141" si="40">IF(T32="","",T32)</f>
        <v xml:space="preserve">ACTUAL </v>
      </c>
      <c r="U140" s="308"/>
      <c r="V140" s="474" t="str">
        <f t="shared" ref="V140:V141" si="41">IF(V32="","",V32)</f>
        <v xml:space="preserve">ACTUAL </v>
      </c>
      <c r="W140" s="474"/>
      <c r="X140" s="474" t="str">
        <f t="shared" ref="X140:X141" si="42">IF(X32="","",X32)</f>
        <v xml:space="preserve">ACTUAL </v>
      </c>
      <c r="Y140" s="474"/>
      <c r="Z140" s="474" t="str">
        <f t="shared" ref="Z140:Z141" si="43">IF(Z32="","",Z32)</f>
        <v xml:space="preserve">ACTUAL </v>
      </c>
      <c r="AA140" s="474"/>
      <c r="AB140" s="474" t="str">
        <f t="shared" si="32"/>
        <v xml:space="preserve">ACTUAL </v>
      </c>
      <c r="AC140" s="474"/>
      <c r="AD140" s="474" t="str">
        <f t="shared" si="33"/>
        <v xml:space="preserve">BUDGET </v>
      </c>
      <c r="AE140" s="474"/>
      <c r="AF140" s="474" t="str">
        <f t="shared" si="34"/>
        <v xml:space="preserve">BUDGET </v>
      </c>
      <c r="AG140" s="474"/>
      <c r="AH140" s="474" t="str">
        <f t="shared" si="35"/>
        <v>THRU</v>
      </c>
      <c r="AI140" s="474"/>
      <c r="AJ140" s="474" t="str">
        <f t="shared" si="36"/>
        <v>June thru</v>
      </c>
      <c r="AK140" s="474"/>
      <c r="AL140" s="596" t="str">
        <f t="shared" si="37"/>
        <v>PROJECTED</v>
      </c>
      <c r="AM140" s="474"/>
      <c r="AN140" s="474" t="str">
        <f t="shared" si="38"/>
        <v>BALANCE</v>
      </c>
      <c r="AO140" s="474"/>
      <c r="AP140" s="474" t="str">
        <f t="shared" si="39"/>
        <v xml:space="preserve">BUDGET </v>
      </c>
      <c r="AQ140" s="308"/>
      <c r="AR140" s="308"/>
      <c r="AS140" s="692"/>
    </row>
    <row r="141" spans="1:45" hidden="1">
      <c r="B141" s="271" t="str">
        <f t="shared" si="31"/>
        <v>Hide</v>
      </c>
      <c r="P141" s="283"/>
      <c r="R141" s="308"/>
      <c r="S141" s="308"/>
      <c r="T141" s="331" t="str">
        <f t="shared" si="40"/>
        <v>TEST</v>
      </c>
      <c r="U141" s="308"/>
      <c r="V141" s="331" t="str">
        <f t="shared" si="41"/>
        <v>FY 2012</v>
      </c>
      <c r="W141" s="331"/>
      <c r="X141" s="331" t="str">
        <f t="shared" si="42"/>
        <v>FY 2013</v>
      </c>
      <c r="Y141" s="331"/>
      <c r="Z141" s="331" t="str">
        <f t="shared" si="43"/>
        <v>FY 2014</v>
      </c>
      <c r="AA141" s="331"/>
      <c r="AB141" s="331" t="str">
        <f t="shared" si="32"/>
        <v>FY - 2015</v>
      </c>
      <c r="AC141" s="331"/>
      <c r="AD141" s="331" t="str">
        <f t="shared" si="33"/>
        <v>FY - 2015</v>
      </c>
      <c r="AE141" s="331"/>
      <c r="AF141" s="331" t="str">
        <f t="shared" si="34"/>
        <v>FY - 2016</v>
      </c>
      <c r="AG141" s="331"/>
      <c r="AH141" s="331" t="str">
        <f t="shared" si="35"/>
        <v>May – 2016</v>
      </c>
      <c r="AI141" s="331"/>
      <c r="AJ141" s="331" t="str">
        <f t="shared" si="36"/>
        <v>EoFY – 2016</v>
      </c>
      <c r="AK141" s="331"/>
      <c r="AL141" s="597" t="str">
        <f t="shared" si="37"/>
        <v>FY-2016</v>
      </c>
      <c r="AM141" s="331"/>
      <c r="AN141" s="331" t="str">
        <f t="shared" si="38"/>
        <v>FY - 2017</v>
      </c>
      <c r="AO141" s="474"/>
      <c r="AP141" s="331" t="str">
        <f t="shared" si="39"/>
        <v>FY - 2017</v>
      </c>
      <c r="AQ141" s="308"/>
      <c r="AR141" s="308"/>
      <c r="AS141" s="692"/>
    </row>
    <row r="142" spans="1:45" hidden="1">
      <c r="B142" s="271" t="str">
        <f t="shared" si="31"/>
        <v>Hide</v>
      </c>
      <c r="P142" s="283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M142" s="308"/>
      <c r="AN142" s="308"/>
      <c r="AO142" s="401"/>
      <c r="AP142" s="308"/>
      <c r="AQ142" s="308"/>
      <c r="AR142" s="308"/>
      <c r="AS142" s="692"/>
    </row>
    <row r="143" spans="1:45" s="488" customFormat="1" hidden="1">
      <c r="A143" s="271"/>
      <c r="B143" s="271" t="str">
        <f t="shared" si="31"/>
        <v>Hide</v>
      </c>
      <c r="C143" s="271"/>
      <c r="D143" s="271"/>
      <c r="E143" s="272"/>
      <c r="F143" s="272"/>
      <c r="G143" s="272"/>
      <c r="H143" s="272"/>
      <c r="I143" s="271"/>
      <c r="J143" s="271"/>
      <c r="K143" s="273"/>
      <c r="L143" s="274"/>
      <c r="M143" s="274"/>
      <c r="N143" s="271"/>
      <c r="O143" s="271"/>
      <c r="P143" s="479" t="s">
        <v>463</v>
      </c>
      <c r="Q143" s="271"/>
      <c r="R143" s="308"/>
      <c r="S143" s="308"/>
      <c r="T143" s="480">
        <v>0</v>
      </c>
      <c r="U143" s="308"/>
      <c r="V143" s="480">
        <v>0</v>
      </c>
      <c r="W143" s="481"/>
      <c r="X143" s="480">
        <v>0</v>
      </c>
      <c r="Y143" s="481"/>
      <c r="Z143" s="480">
        <v>0</v>
      </c>
      <c r="AA143" s="481"/>
      <c r="AB143" s="480">
        <v>-0.25999999999999801</v>
      </c>
      <c r="AC143" s="481"/>
      <c r="AD143" s="480">
        <v>0</v>
      </c>
      <c r="AE143" s="481"/>
      <c r="AF143" s="480">
        <v>0</v>
      </c>
      <c r="AG143" s="481"/>
      <c r="AH143" s="480">
        <v>-0.21000000002095476</v>
      </c>
      <c r="AI143" s="481"/>
      <c r="AJ143" s="480">
        <v>0</v>
      </c>
      <c r="AK143" s="481"/>
      <c r="AL143" s="598">
        <v>0</v>
      </c>
      <c r="AM143" s="481"/>
      <c r="AN143" s="480">
        <v>0</v>
      </c>
      <c r="AO143" s="693"/>
      <c r="AP143" s="480">
        <v>0</v>
      </c>
      <c r="AQ143" s="486"/>
      <c r="AR143" s="481"/>
      <c r="AS143" s="755"/>
    </row>
    <row r="144" spans="1:45" s="488" customFormat="1" hidden="1">
      <c r="A144" s="271"/>
      <c r="B144" s="271" t="str">
        <f t="shared" si="31"/>
        <v>Hide</v>
      </c>
      <c r="C144" s="271"/>
      <c r="D144" s="271"/>
      <c r="E144" s="272"/>
      <c r="F144" s="272"/>
      <c r="G144" s="272"/>
      <c r="H144" s="272"/>
      <c r="I144" s="271"/>
      <c r="J144" s="271"/>
      <c r="K144" s="273"/>
      <c r="L144" s="274"/>
      <c r="M144" s="274"/>
      <c r="N144" s="271"/>
      <c r="O144" s="271"/>
      <c r="P144" s="479" t="s">
        <v>464</v>
      </c>
      <c r="Q144" s="271"/>
      <c r="R144" s="308"/>
      <c r="S144" s="308"/>
      <c r="T144" s="480">
        <v>0</v>
      </c>
      <c r="U144" s="308"/>
      <c r="V144" s="480">
        <v>0</v>
      </c>
      <c r="W144" s="481"/>
      <c r="X144" s="480">
        <v>0</v>
      </c>
      <c r="Y144" s="481"/>
      <c r="Z144" s="480">
        <v>0</v>
      </c>
      <c r="AA144" s="481"/>
      <c r="AB144" s="480">
        <v>1.0000000009313226E-2</v>
      </c>
      <c r="AC144" s="481"/>
      <c r="AD144" s="480">
        <v>0</v>
      </c>
      <c r="AE144" s="481"/>
      <c r="AF144" s="480">
        <v>0</v>
      </c>
      <c r="AG144" s="481"/>
      <c r="AH144" s="480">
        <v>1.0000000009313226E-2</v>
      </c>
      <c r="AI144" s="481"/>
      <c r="AJ144" s="480">
        <v>0</v>
      </c>
      <c r="AK144" s="481"/>
      <c r="AL144" s="598">
        <v>0</v>
      </c>
      <c r="AM144" s="481"/>
      <c r="AN144" s="480">
        <v>0</v>
      </c>
      <c r="AO144" s="693"/>
      <c r="AP144" s="480">
        <v>0</v>
      </c>
      <c r="AQ144" s="486"/>
      <c r="AR144" s="481"/>
      <c r="AS144" s="755"/>
    </row>
    <row r="145" spans="1:45" s="488" customFormat="1" hidden="1">
      <c r="A145" s="271"/>
      <c r="B145" s="271" t="str">
        <f t="shared" si="31"/>
        <v>Hide</v>
      </c>
      <c r="C145" s="271"/>
      <c r="D145" s="271"/>
      <c r="E145" s="272"/>
      <c r="F145" s="272"/>
      <c r="G145" s="272"/>
      <c r="H145" s="272"/>
      <c r="I145" s="271"/>
      <c r="J145" s="271"/>
      <c r="K145" s="273"/>
      <c r="L145" s="274"/>
      <c r="M145" s="274"/>
      <c r="N145" s="271"/>
      <c r="O145" s="271"/>
      <c r="P145" s="479" t="s">
        <v>451</v>
      </c>
      <c r="Q145" s="271"/>
      <c r="R145" s="308"/>
      <c r="S145" s="308"/>
      <c r="T145" s="480">
        <v>0</v>
      </c>
      <c r="U145" s="308"/>
      <c r="V145" s="480">
        <v>0</v>
      </c>
      <c r="W145" s="481"/>
      <c r="X145" s="480">
        <v>0</v>
      </c>
      <c r="Y145" s="481"/>
      <c r="Z145" s="480">
        <v>0</v>
      </c>
      <c r="AA145" s="481"/>
      <c r="AB145" s="480">
        <v>-0.22999999998137355</v>
      </c>
      <c r="AC145" s="481"/>
      <c r="AD145" s="480">
        <v>0</v>
      </c>
      <c r="AE145" s="481"/>
      <c r="AF145" s="480">
        <v>0</v>
      </c>
      <c r="AG145" s="481"/>
      <c r="AH145" s="480">
        <v>0</v>
      </c>
      <c r="AI145" s="481"/>
      <c r="AJ145" s="480">
        <v>0</v>
      </c>
      <c r="AK145" s="481"/>
      <c r="AL145" s="598">
        <v>0</v>
      </c>
      <c r="AM145" s="481"/>
      <c r="AN145" s="480">
        <v>0</v>
      </c>
      <c r="AO145" s="693"/>
      <c r="AP145" s="480">
        <v>0</v>
      </c>
      <c r="AQ145" s="486"/>
      <c r="AR145" s="481"/>
      <c r="AS145" s="755"/>
    </row>
    <row r="146" spans="1:45" s="488" customFormat="1" hidden="1">
      <c r="A146" s="271"/>
      <c r="B146" s="271" t="str">
        <f t="shared" si="31"/>
        <v>Hide</v>
      </c>
      <c r="C146" s="271"/>
      <c r="D146" s="271"/>
      <c r="E146" s="272"/>
      <c r="F146" s="272"/>
      <c r="G146" s="272"/>
      <c r="H146" s="272"/>
      <c r="I146" s="271"/>
      <c r="J146" s="271"/>
      <c r="K146" s="273"/>
      <c r="L146" s="274"/>
      <c r="M146" s="274"/>
      <c r="N146" s="271"/>
      <c r="O146" s="271"/>
      <c r="P146" s="479" t="s">
        <v>465</v>
      </c>
      <c r="Q146" s="271"/>
      <c r="R146" s="308"/>
      <c r="S146" s="308"/>
      <c r="T146" s="489">
        <v>0</v>
      </c>
      <c r="U146" s="308"/>
      <c r="V146" s="489">
        <v>0</v>
      </c>
      <c r="W146" s="486"/>
      <c r="X146" s="489">
        <v>0</v>
      </c>
      <c r="Y146" s="486"/>
      <c r="Z146" s="489">
        <v>0</v>
      </c>
      <c r="AA146" s="486"/>
      <c r="AB146" s="489">
        <v>0</v>
      </c>
      <c r="AC146" s="486"/>
      <c r="AD146" s="489">
        <v>0</v>
      </c>
      <c r="AE146" s="486"/>
      <c r="AF146" s="489">
        <v>0</v>
      </c>
      <c r="AG146" s="486"/>
      <c r="AH146" s="489">
        <v>0</v>
      </c>
      <c r="AI146" s="486"/>
      <c r="AJ146" s="489">
        <v>0</v>
      </c>
      <c r="AK146" s="486"/>
      <c r="AL146" s="602">
        <v>0</v>
      </c>
      <c r="AM146" s="486"/>
      <c r="AN146" s="489">
        <v>0</v>
      </c>
      <c r="AO146" s="486"/>
      <c r="AP146" s="489">
        <v>0</v>
      </c>
      <c r="AQ146" s="486"/>
      <c r="AR146" s="481"/>
      <c r="AS146" s="755"/>
    </row>
    <row r="147" spans="1:45" hidden="1">
      <c r="B147" s="271" t="str">
        <f t="shared" si="31"/>
        <v>Hide</v>
      </c>
      <c r="P147" s="283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M147" s="308"/>
      <c r="AN147" s="308"/>
      <c r="AO147" s="401"/>
      <c r="AP147" s="308"/>
      <c r="AQ147" s="308"/>
      <c r="AR147" s="308"/>
      <c r="AS147" s="692"/>
    </row>
    <row r="148" spans="1:45" hidden="1">
      <c r="B148" s="271" t="str">
        <f>IF(COUNTIF(V148:AP148,"ERROR")=0,"Hide","Show")</f>
        <v>Hide</v>
      </c>
      <c r="P148" s="283"/>
      <c r="R148" s="308">
        <f>COUNTIF(V148:AP148,"ERROR")</f>
        <v>0</v>
      </c>
      <c r="S148" s="308"/>
      <c r="T148" s="308"/>
      <c r="U148" s="308"/>
      <c r="V148" s="312" t="str">
        <f>IF(OR(ABS(V143)&gt;10,ABS(V144)&gt;10,ABS(V145)&gt;10,ABS(V146)&gt;10),"ERROR","")</f>
        <v/>
      </c>
      <c r="W148" s="312"/>
      <c r="X148" s="312" t="str">
        <f>IF(OR(ABS(X143)&gt;10,ABS(X144)&gt;10,ABS(X145)&gt;10,ABS(X146)&gt;10),"ERROR","")</f>
        <v/>
      </c>
      <c r="Y148" s="312"/>
      <c r="Z148" s="312" t="str">
        <f>IF(OR(ABS(Z143)&gt;10,ABS(Z144)&gt;10,ABS(Z145)&gt;10,ABS(Z146)&gt;10),"ERROR","")</f>
        <v/>
      </c>
      <c r="AA148" s="312"/>
      <c r="AB148" s="312" t="str">
        <f>IF(OR(ABS(AB143)&gt;10,ABS(AB144)&gt;10,ABS(AB145)&gt;10,ABS(AB146)&gt;10),"ERROR","")</f>
        <v/>
      </c>
      <c r="AC148" s="312"/>
      <c r="AD148" s="312" t="str">
        <f>IF(OR(ABS(AD143)&gt;10,ABS(AD144)&gt;10,ABS(AD145)&gt;10,ABS(AD146)&gt;10),"ERROR","")</f>
        <v/>
      </c>
      <c r="AE148" s="312"/>
      <c r="AF148" s="312" t="str">
        <f>IF(OR(ABS(AF143)&gt;10,ABS(AF144)&gt;10,ABS(AF145)&gt;10,ABS(AF146)&gt;10),"ERROR","")</f>
        <v/>
      </c>
      <c r="AG148" s="312"/>
      <c r="AH148" s="312" t="str">
        <f>IF(OR(ABS(AH143)&gt;10,ABS(AH144)&gt;10,ABS(AH145)&gt;10,ABS(AH146)&gt;10),"ERROR","")</f>
        <v/>
      </c>
      <c r="AI148" s="312"/>
      <c r="AJ148" s="312"/>
      <c r="AK148" s="312"/>
      <c r="AL148" s="275"/>
      <c r="AM148" s="312"/>
      <c r="AN148" s="312" t="str">
        <f>IF(OR(ABS(AN143)&gt;10,ABS(AN144)&gt;10,ABS(AN145)&gt;10,ABS(AN146)&gt;10),"ERROR","")</f>
        <v/>
      </c>
      <c r="AO148" s="694"/>
      <c r="AP148" s="312"/>
      <c r="AQ148" s="308"/>
      <c r="AR148" s="308"/>
      <c r="AS148" s="692"/>
    </row>
    <row r="149" spans="1:45" hidden="1">
      <c r="B149" s="271" t="s">
        <v>31</v>
      </c>
      <c r="P149" s="283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M149" s="308"/>
      <c r="AN149" s="308"/>
      <c r="AO149" s="401"/>
      <c r="AP149" s="308"/>
      <c r="AQ149" s="308"/>
      <c r="AR149" s="308"/>
      <c r="AS149" s="692"/>
    </row>
    <row r="150" spans="1:45" hidden="1">
      <c r="B150" s="271" t="s">
        <v>31</v>
      </c>
      <c r="P150" s="283"/>
      <c r="R150" s="308"/>
      <c r="S150" s="308"/>
      <c r="T150" s="312" t="s">
        <v>461</v>
      </c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12" t="s">
        <v>466</v>
      </c>
      <c r="AE150" s="308"/>
      <c r="AF150" s="312" t="s">
        <v>466</v>
      </c>
      <c r="AG150" s="308"/>
      <c r="AH150" s="308"/>
      <c r="AI150" s="308"/>
      <c r="AJ150" s="308"/>
      <c r="AK150" s="308"/>
      <c r="AM150" s="308"/>
      <c r="AN150" s="308"/>
      <c r="AO150" s="401"/>
      <c r="AP150" s="308"/>
      <c r="AQ150" s="308"/>
      <c r="AR150" s="308"/>
      <c r="AS150" s="692"/>
    </row>
    <row r="151" spans="1:45" hidden="1">
      <c r="B151" s="271" t="s">
        <v>31</v>
      </c>
      <c r="P151" s="479" t="s">
        <v>463</v>
      </c>
      <c r="R151" s="308"/>
      <c r="S151" s="308"/>
      <c r="T151" s="481">
        <f>T135</f>
        <v>485290</v>
      </c>
      <c r="U151" s="308"/>
      <c r="V151" s="308"/>
      <c r="W151" s="308"/>
      <c r="X151" s="308"/>
      <c r="Y151" s="308"/>
      <c r="Z151" s="308"/>
      <c r="AA151" s="308"/>
      <c r="AB151" s="308"/>
      <c r="AC151" s="308"/>
      <c r="AD151" s="480">
        <v>0</v>
      </c>
      <c r="AE151" s="308"/>
      <c r="AF151" s="480">
        <v>0</v>
      </c>
      <c r="AG151" s="308"/>
      <c r="AH151" s="308"/>
      <c r="AI151" s="308"/>
      <c r="AJ151" s="308"/>
      <c r="AK151" s="308"/>
      <c r="AM151" s="308"/>
      <c r="AN151" s="308"/>
      <c r="AO151" s="401"/>
      <c r="AP151" s="308"/>
      <c r="AQ151" s="308"/>
      <c r="AR151" s="308"/>
      <c r="AS151" s="692"/>
    </row>
    <row r="152" spans="1:45" hidden="1">
      <c r="B152" s="271" t="s">
        <v>31</v>
      </c>
      <c r="P152" s="479" t="s">
        <v>464</v>
      </c>
      <c r="R152" s="308"/>
      <c r="S152" s="308"/>
      <c r="T152" s="481">
        <f>IF(ISERROR(HLOOKUP(F22,Balance_Sheet!N10:AC11,2)),0,HLOOKUP(F22,Balance_Sheet!N10:AC11,2))</f>
        <v>485290</v>
      </c>
      <c r="U152" s="308"/>
      <c r="V152" s="308"/>
      <c r="W152" s="308"/>
      <c r="X152" s="308"/>
      <c r="Y152" s="308"/>
      <c r="Z152" s="308"/>
      <c r="AA152" s="308"/>
      <c r="AB152" s="308"/>
      <c r="AC152" s="308"/>
      <c r="AD152" s="480">
        <v>0</v>
      </c>
      <c r="AE152" s="308"/>
      <c r="AF152" s="480">
        <v>0</v>
      </c>
      <c r="AG152" s="308"/>
      <c r="AH152" s="308"/>
      <c r="AI152" s="308"/>
      <c r="AJ152" s="308"/>
      <c r="AK152" s="308"/>
      <c r="AM152" s="308"/>
      <c r="AN152" s="308"/>
      <c r="AO152" s="401"/>
      <c r="AP152" s="308"/>
      <c r="AQ152" s="308"/>
      <c r="AR152" s="308"/>
      <c r="AS152" s="692"/>
    </row>
    <row r="153" spans="1:45" hidden="1">
      <c r="B153" s="271" t="s">
        <v>31</v>
      </c>
      <c r="P153" s="479" t="s">
        <v>451</v>
      </c>
      <c r="R153" s="308"/>
      <c r="S153" s="308"/>
      <c r="T153" s="496">
        <f>T152-T151</f>
        <v>0</v>
      </c>
      <c r="U153" s="308"/>
      <c r="V153" s="308"/>
      <c r="W153" s="308"/>
      <c r="X153" s="308"/>
      <c r="Y153" s="308"/>
      <c r="Z153" s="308"/>
      <c r="AA153" s="308"/>
      <c r="AB153" s="308"/>
      <c r="AC153" s="308"/>
      <c r="AD153" s="480">
        <v>0</v>
      </c>
      <c r="AE153" s="308"/>
      <c r="AF153" s="480">
        <v>0</v>
      </c>
      <c r="AG153" s="308"/>
      <c r="AH153" s="308"/>
      <c r="AI153" s="308"/>
      <c r="AJ153" s="308"/>
      <c r="AK153" s="308"/>
      <c r="AM153" s="308"/>
      <c r="AN153" s="308"/>
      <c r="AO153" s="401"/>
      <c r="AP153" s="308"/>
      <c r="AQ153" s="308"/>
      <c r="AR153" s="308"/>
      <c r="AS153" s="692"/>
    </row>
    <row r="154" spans="1:45" hidden="1">
      <c r="B154" s="271" t="s">
        <v>31</v>
      </c>
      <c r="P154" s="479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480">
        <f>ABS(AD151)+ABS(AD152)+ABS(AD153)</f>
        <v>0</v>
      </c>
      <c r="AE154" s="308"/>
      <c r="AF154" s="480">
        <f>ABS(AF151)+ABS(AF152)+ABS(AF153)</f>
        <v>0</v>
      </c>
      <c r="AG154" s="308"/>
      <c r="AH154" s="308"/>
      <c r="AI154" s="308"/>
      <c r="AJ154" s="308"/>
      <c r="AK154" s="308"/>
      <c r="AM154" s="308"/>
      <c r="AN154" s="308"/>
      <c r="AO154" s="401"/>
      <c r="AP154" s="308"/>
      <c r="AQ154" s="308"/>
      <c r="AR154" s="308"/>
      <c r="AS154" s="692"/>
    </row>
    <row r="155" spans="1:45" hidden="1">
      <c r="B155" s="271" t="str">
        <f t="shared" ref="B155:B164" si="44">B154</f>
        <v>Hide</v>
      </c>
      <c r="P155" s="283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M155" s="308"/>
      <c r="AN155" s="308"/>
      <c r="AO155" s="401"/>
      <c r="AP155" s="308"/>
      <c r="AQ155" s="308"/>
      <c r="AR155" s="308"/>
      <c r="AS155" s="692"/>
    </row>
    <row r="156" spans="1:45" hidden="1">
      <c r="B156" s="271" t="str">
        <f t="shared" si="44"/>
        <v>Hide</v>
      </c>
      <c r="P156" s="283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M156" s="308"/>
      <c r="AN156" s="308"/>
      <c r="AO156" s="401"/>
      <c r="AP156" s="308"/>
      <c r="AQ156" s="308"/>
      <c r="AR156" s="308"/>
      <c r="AS156" s="692"/>
    </row>
    <row r="157" spans="1:45" ht="13.5" hidden="1">
      <c r="B157" s="271" t="str">
        <f t="shared" si="44"/>
        <v>Hide</v>
      </c>
      <c r="P157" s="497">
        <v>361001</v>
      </c>
      <c r="R157" s="498" t="s">
        <v>467</v>
      </c>
      <c r="S157" s="308"/>
      <c r="T157" s="308"/>
      <c r="U157" s="308"/>
      <c r="V157" s="498"/>
      <c r="W157" s="308"/>
      <c r="X157" s="499">
        <v>101</v>
      </c>
      <c r="Y157" s="308"/>
      <c r="Z157" s="500">
        <f>IF($X157=0,0,$AB157)</f>
        <v>0</v>
      </c>
      <c r="AA157" s="308"/>
      <c r="AB157" s="695">
        <f>T153</f>
        <v>0</v>
      </c>
      <c r="AC157" s="308"/>
      <c r="AD157" s="308"/>
      <c r="AE157" s="308"/>
      <c r="AF157" s="308"/>
      <c r="AG157" s="308"/>
      <c r="AH157" s="308"/>
      <c r="AI157" s="308"/>
      <c r="AJ157" s="308"/>
      <c r="AK157" s="308"/>
      <c r="AM157" s="308"/>
      <c r="AN157" s="308"/>
      <c r="AO157" s="401"/>
      <c r="AP157" s="308"/>
      <c r="AQ157" s="308"/>
      <c r="AR157" s="308"/>
      <c r="AS157" s="692"/>
    </row>
    <row r="158" spans="1:45" ht="13.5" hidden="1">
      <c r="B158" s="271" t="str">
        <f t="shared" si="44"/>
        <v>Hide</v>
      </c>
      <c r="P158" s="497">
        <v>549001</v>
      </c>
      <c r="R158" s="498" t="s">
        <v>468</v>
      </c>
      <c r="S158" s="308"/>
      <c r="T158" s="308"/>
      <c r="U158" s="308"/>
      <c r="V158" s="498">
        <v>51301</v>
      </c>
      <c r="W158" s="308"/>
      <c r="X158" s="499">
        <v>0</v>
      </c>
      <c r="Y158" s="308"/>
      <c r="Z158" s="500">
        <f>IF($X158=0,0,IF($Z157=0,$AB158,0))</f>
        <v>0</v>
      </c>
      <c r="AA158" s="308"/>
      <c r="AB158" s="695">
        <f t="shared" ref="AB158:AB164" si="45">$AB157</f>
        <v>0</v>
      </c>
      <c r="AC158" s="308"/>
      <c r="AD158" s="308"/>
      <c r="AE158" s="308"/>
      <c r="AF158" s="308"/>
      <c r="AG158" s="308"/>
      <c r="AH158" s="308"/>
      <c r="AI158" s="308"/>
      <c r="AJ158" s="308"/>
      <c r="AK158" s="308"/>
      <c r="AM158" s="308"/>
      <c r="AN158" s="308"/>
      <c r="AO158" s="401"/>
      <c r="AP158" s="308"/>
      <c r="AQ158" s="308"/>
      <c r="AR158" s="308"/>
      <c r="AS158" s="692"/>
    </row>
    <row r="159" spans="1:45" ht="13.5" hidden="1">
      <c r="B159" s="271" t="str">
        <f t="shared" si="44"/>
        <v>Hide</v>
      </c>
      <c r="P159" s="497">
        <v>549900</v>
      </c>
      <c r="R159" s="498" t="s">
        <v>469</v>
      </c>
      <c r="S159" s="308"/>
      <c r="T159" s="308"/>
      <c r="U159" s="308"/>
      <c r="V159" s="498">
        <v>51301</v>
      </c>
      <c r="W159" s="308"/>
      <c r="X159" s="499">
        <v>0</v>
      </c>
      <c r="Y159" s="308"/>
      <c r="Z159" s="500">
        <f>IF($X159=0,0,IF(SUM($Z157:$Z158)=0,$AB159,0))</f>
        <v>0</v>
      </c>
      <c r="AA159" s="308"/>
      <c r="AB159" s="695">
        <f t="shared" si="45"/>
        <v>0</v>
      </c>
      <c r="AC159" s="308"/>
      <c r="AD159" s="308"/>
      <c r="AE159" s="308"/>
      <c r="AF159" s="308"/>
      <c r="AG159" s="308"/>
      <c r="AH159" s="308"/>
      <c r="AI159" s="308"/>
      <c r="AJ159" s="308"/>
      <c r="AK159" s="308"/>
      <c r="AM159" s="308"/>
      <c r="AN159" s="308"/>
      <c r="AO159" s="401"/>
      <c r="AP159" s="308"/>
      <c r="AQ159" s="308"/>
      <c r="AR159" s="308"/>
      <c r="AS159" s="692"/>
    </row>
    <row r="160" spans="1:45" ht="13.5" hidden="1">
      <c r="B160" s="271" t="str">
        <f t="shared" si="44"/>
        <v>Hide</v>
      </c>
      <c r="P160" s="497">
        <v>565001</v>
      </c>
      <c r="R160" s="498" t="s">
        <v>439</v>
      </c>
      <c r="S160" s="308"/>
      <c r="T160" s="308"/>
      <c r="U160" s="308"/>
      <c r="V160" s="498" t="s">
        <v>470</v>
      </c>
      <c r="W160" s="308"/>
      <c r="X160" s="499">
        <v>0</v>
      </c>
      <c r="Y160" s="308"/>
      <c r="Z160" s="500">
        <f>IF($X160=0,0,IF(SUM($Z157:$Z159)=0,$AB160,0))</f>
        <v>0</v>
      </c>
      <c r="AA160" s="308"/>
      <c r="AB160" s="695">
        <f t="shared" si="45"/>
        <v>0</v>
      </c>
      <c r="AC160" s="308"/>
      <c r="AD160" s="308"/>
      <c r="AE160" s="308"/>
      <c r="AF160" s="308"/>
      <c r="AG160" s="308"/>
      <c r="AH160" s="308"/>
      <c r="AI160" s="308"/>
      <c r="AJ160" s="308"/>
      <c r="AK160" s="308"/>
      <c r="AM160" s="308"/>
      <c r="AN160" s="308"/>
      <c r="AO160" s="401"/>
      <c r="AP160" s="308"/>
      <c r="AQ160" s="308"/>
      <c r="AR160" s="308"/>
      <c r="AS160" s="692"/>
    </row>
    <row r="161" spans="2:45" ht="13.5" hidden="1">
      <c r="B161" s="271" t="str">
        <f t="shared" si="44"/>
        <v>Hide</v>
      </c>
      <c r="P161" s="497">
        <f t="shared" ref="P161:P163" si="46">P160+1</f>
        <v>565002</v>
      </c>
      <c r="R161" s="498" t="s">
        <v>439</v>
      </c>
      <c r="S161" s="308"/>
      <c r="T161" s="308"/>
      <c r="U161" s="308"/>
      <c r="V161" s="498" t="s">
        <v>470</v>
      </c>
      <c r="W161" s="308"/>
      <c r="X161" s="499">
        <v>0</v>
      </c>
      <c r="Y161" s="308"/>
      <c r="Z161" s="500">
        <f>IF($X161=0,0,IF(SUM($Z157:$Z160)=0,$AB161,0))</f>
        <v>0</v>
      </c>
      <c r="AA161" s="308"/>
      <c r="AB161" s="695">
        <f t="shared" si="45"/>
        <v>0</v>
      </c>
      <c r="AC161" s="308"/>
      <c r="AD161" s="308"/>
      <c r="AE161" s="308"/>
      <c r="AF161" s="308"/>
      <c r="AG161" s="308"/>
      <c r="AH161" s="308"/>
      <c r="AI161" s="308"/>
      <c r="AJ161" s="308"/>
      <c r="AK161" s="308"/>
      <c r="AM161" s="308"/>
      <c r="AN161" s="308"/>
      <c r="AO161" s="401"/>
      <c r="AP161" s="308"/>
      <c r="AQ161" s="308"/>
      <c r="AR161" s="308"/>
      <c r="AS161" s="692"/>
    </row>
    <row r="162" spans="2:45" ht="13.5" hidden="1">
      <c r="B162" s="271" t="str">
        <f t="shared" si="44"/>
        <v>Hide</v>
      </c>
      <c r="P162" s="497">
        <f t="shared" si="46"/>
        <v>565003</v>
      </c>
      <c r="R162" s="498" t="s">
        <v>439</v>
      </c>
      <c r="S162" s="308"/>
      <c r="T162" s="308"/>
      <c r="U162" s="308"/>
      <c r="V162" s="498" t="s">
        <v>470</v>
      </c>
      <c r="W162" s="308"/>
      <c r="X162" s="499">
        <v>0</v>
      </c>
      <c r="Y162" s="308"/>
      <c r="Z162" s="500">
        <f>IF($X162=0,0,IF(SUM($Z157:$Z161)=0,$AB162,0))</f>
        <v>0</v>
      </c>
      <c r="AA162" s="308"/>
      <c r="AB162" s="695">
        <f t="shared" si="45"/>
        <v>0</v>
      </c>
      <c r="AC162" s="308"/>
      <c r="AD162" s="308"/>
      <c r="AE162" s="308"/>
      <c r="AF162" s="308"/>
      <c r="AG162" s="308"/>
      <c r="AH162" s="308"/>
      <c r="AI162" s="308"/>
      <c r="AJ162" s="308"/>
      <c r="AK162" s="308"/>
      <c r="AM162" s="308"/>
      <c r="AN162" s="308"/>
      <c r="AO162" s="401"/>
      <c r="AP162" s="308"/>
      <c r="AQ162" s="308"/>
      <c r="AR162" s="308"/>
      <c r="AS162" s="692"/>
    </row>
    <row r="163" spans="2:45" ht="13.5" hidden="1">
      <c r="B163" s="271" t="str">
        <f t="shared" si="44"/>
        <v>Hide</v>
      </c>
      <c r="P163" s="497">
        <f t="shared" si="46"/>
        <v>565004</v>
      </c>
      <c r="R163" s="498" t="s">
        <v>439</v>
      </c>
      <c r="S163" s="308"/>
      <c r="T163" s="308"/>
      <c r="U163" s="308"/>
      <c r="V163" s="498" t="s">
        <v>470</v>
      </c>
      <c r="W163" s="308"/>
      <c r="X163" s="499">
        <v>0</v>
      </c>
      <c r="Y163" s="308"/>
      <c r="Z163" s="500">
        <f>IF($X163=0,0,IF(SUM($Z157:$Z162)=0,$AB163,0))</f>
        <v>0</v>
      </c>
      <c r="AA163" s="308"/>
      <c r="AB163" s="695">
        <f t="shared" si="45"/>
        <v>0</v>
      </c>
      <c r="AC163" s="308"/>
      <c r="AD163" s="308"/>
      <c r="AE163" s="308"/>
      <c r="AF163" s="308"/>
      <c r="AG163" s="308"/>
      <c r="AH163" s="308"/>
      <c r="AI163" s="308"/>
      <c r="AJ163" s="308"/>
      <c r="AK163" s="308"/>
      <c r="AM163" s="308"/>
      <c r="AN163" s="308"/>
      <c r="AO163" s="401"/>
      <c r="AP163" s="308"/>
      <c r="AQ163" s="308"/>
      <c r="AR163" s="308"/>
      <c r="AS163" s="692"/>
    </row>
    <row r="164" spans="2:45" hidden="1">
      <c r="B164" s="271" t="str">
        <f t="shared" si="44"/>
        <v>Hide</v>
      </c>
      <c r="R164" s="498" t="s">
        <v>471</v>
      </c>
      <c r="S164" s="308"/>
      <c r="T164" s="308"/>
      <c r="U164" s="308"/>
      <c r="V164" s="308"/>
      <c r="W164" s="308"/>
      <c r="X164" s="502"/>
      <c r="Y164" s="308"/>
      <c r="Z164" s="500">
        <f>IF(SUM($Z157:$Z163)=0,$AB164,0)</f>
        <v>0</v>
      </c>
      <c r="AA164" s="308"/>
      <c r="AB164" s="695">
        <f t="shared" si="45"/>
        <v>0</v>
      </c>
      <c r="AC164" s="308"/>
      <c r="AD164" s="308"/>
      <c r="AE164" s="308"/>
      <c r="AF164" s="308"/>
      <c r="AG164" s="308"/>
      <c r="AH164" s="308"/>
      <c r="AI164" s="308"/>
      <c r="AJ164" s="308"/>
      <c r="AK164" s="308"/>
      <c r="AM164" s="308"/>
      <c r="AN164" s="308"/>
      <c r="AO164" s="401"/>
      <c r="AP164" s="308"/>
      <c r="AQ164" s="308"/>
      <c r="AR164" s="308"/>
      <c r="AS164" s="692"/>
    </row>
    <row r="165" spans="2:45" hidden="1">
      <c r="R165" s="308"/>
      <c r="S165" s="308"/>
      <c r="T165" s="308"/>
      <c r="U165" s="308"/>
      <c r="V165" s="308"/>
      <c r="W165" s="308"/>
      <c r="X165" s="308"/>
      <c r="Y165" s="308"/>
      <c r="Z165" s="308"/>
      <c r="AA165" s="308"/>
      <c r="AB165" s="308"/>
      <c r="AC165" s="308"/>
      <c r="AD165" s="308"/>
      <c r="AE165" s="308"/>
      <c r="AF165" s="308"/>
      <c r="AG165" s="308"/>
      <c r="AH165" s="308"/>
      <c r="AI165" s="308"/>
      <c r="AJ165" s="308"/>
      <c r="AK165" s="308"/>
      <c r="AM165" s="308"/>
      <c r="AN165" s="308"/>
      <c r="AO165" s="401"/>
      <c r="AP165" s="308"/>
      <c r="AQ165" s="308"/>
      <c r="AR165" s="308"/>
      <c r="AS165" s="692"/>
    </row>
    <row r="166" spans="2:45" ht="15.6" customHeight="1">
      <c r="R166" s="378" t="s">
        <v>472</v>
      </c>
      <c r="S166" s="308"/>
      <c r="T166" s="308"/>
      <c r="U166" s="308"/>
      <c r="V166" s="308"/>
      <c r="W166" s="308"/>
      <c r="X166" s="308"/>
      <c r="Y166" s="308"/>
      <c r="Z166" s="308"/>
      <c r="AA166" s="308"/>
      <c r="AB166" s="308"/>
      <c r="AC166" s="308"/>
      <c r="AD166" s="308"/>
      <c r="AE166" s="308"/>
      <c r="AF166" s="308"/>
      <c r="AG166" s="308"/>
      <c r="AH166" s="308"/>
      <c r="AI166" s="308"/>
      <c r="AJ166" s="308"/>
      <c r="AK166" s="308"/>
      <c r="AL166" s="384">
        <f ca="1">AL135-AF135</f>
        <v>19253.875</v>
      </c>
      <c r="AM166" s="308"/>
      <c r="AN166" s="308"/>
      <c r="AO166" s="401"/>
      <c r="AP166" s="308"/>
      <c r="AQ166" s="308"/>
      <c r="AR166" s="308"/>
      <c r="AS166" s="692"/>
    </row>
  </sheetData>
  <sheetProtection selectLockedCells="1" selectUnlockedCells="1"/>
  <mergeCells count="6">
    <mergeCell ref="R25:AP25"/>
    <mergeCell ref="R26:AP26"/>
    <mergeCell ref="R27:AP27"/>
    <mergeCell ref="P29:AP29"/>
    <mergeCell ref="P35:AP35"/>
    <mergeCell ref="R36:AP36"/>
  </mergeCells>
  <printOptions horizontalCentered="1"/>
  <pageMargins left="0.75" right="0.75" top="1.3166666666666667" bottom="0.87777777777777777" header="0.4" footer="0.35"/>
  <pageSetup scale="70" firstPageNumber="0" orientation="landscape" horizontalDpi="300" verticalDpi="300"/>
  <headerFooter alignWithMargins="0">
    <oddHeader>&amp;L&amp;"Arial black,Bold"&amp;15HARMONY
Community Development District&amp;R&amp;"Arial,Italic"&amp;13 015 Debt Service Fund</oddHeader>
    <oddFooter>&amp;L     Fiscal Year 2017
     Annual Operating and Debt Service Budget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61"/>
  <sheetViews>
    <sheetView topLeftCell="B5" zoomScaleSheetLayoutView="100" workbookViewId="0">
      <pane ySplit="5" topLeftCell="A10" activePane="bottomLeft" state="frozen"/>
      <selection activeCell="B5" sqref="B5"/>
      <selection pane="bottomLeft" sqref="A1:H1"/>
    </sheetView>
  </sheetViews>
  <sheetFormatPr defaultColWidth="2.42578125" defaultRowHeight="12.75"/>
  <cols>
    <col min="1" max="1" width="0" style="696" hidden="1" customWidth="1"/>
    <col min="2" max="2" width="11.42578125" style="697" customWidth="1"/>
    <col min="3" max="4" width="18.28515625" style="697" customWidth="1"/>
    <col min="5" max="5" width="0" style="697" hidden="1" customWidth="1"/>
    <col min="6" max="6" width="18.28515625" style="698" customWidth="1"/>
    <col min="7" max="8" width="18.28515625" style="697" customWidth="1"/>
    <col min="9" max="13" width="0" style="698" hidden="1" customWidth="1"/>
    <col min="14" max="255" width="10.7109375" style="698" customWidth="1"/>
    <col min="256" max="16384" width="2.42578125" style="698"/>
  </cols>
  <sheetData>
    <row r="1" spans="1:12" ht="18" hidden="1" customHeight="1">
      <c r="A1" s="1436" t="s">
        <v>135</v>
      </c>
      <c r="B1" s="1436"/>
      <c r="C1" s="1436"/>
      <c r="D1" s="1436"/>
      <c r="E1" s="1436"/>
      <c r="F1" s="1436"/>
      <c r="G1" s="1436"/>
      <c r="H1" s="1436"/>
    </row>
    <row r="2" spans="1:12" ht="15.95" hidden="1" customHeight="1">
      <c r="A2" s="1436" t="s">
        <v>136</v>
      </c>
      <c r="B2" s="1436"/>
      <c r="C2" s="1436"/>
      <c r="D2" s="1436"/>
      <c r="E2" s="1436"/>
      <c r="F2" s="1436"/>
      <c r="G2" s="700"/>
      <c r="H2" s="696"/>
    </row>
    <row r="3" spans="1:12" ht="12" hidden="1" customHeight="1">
      <c r="A3" s="1434" t="s">
        <v>539</v>
      </c>
      <c r="B3" s="1434"/>
      <c r="C3" s="1434"/>
      <c r="D3" s="1434"/>
      <c r="E3" s="1434"/>
      <c r="F3" s="1434"/>
      <c r="H3" s="696"/>
    </row>
    <row r="4" spans="1:12" ht="6" hidden="1" customHeight="1">
      <c r="B4" s="696"/>
      <c r="C4" s="696"/>
      <c r="D4" s="696"/>
      <c r="E4" s="696"/>
      <c r="F4" s="756"/>
      <c r="G4" s="696"/>
      <c r="H4" s="696"/>
    </row>
    <row r="5" spans="1:12">
      <c r="A5" s="700"/>
      <c r="B5" s="1435" t="s">
        <v>559</v>
      </c>
      <c r="C5" s="1435"/>
      <c r="D5" s="1435"/>
      <c r="E5" s="1435"/>
      <c r="F5" s="1435"/>
      <c r="G5" s="1435"/>
      <c r="H5" s="1435"/>
    </row>
    <row r="6" spans="1:12">
      <c r="A6" s="700"/>
      <c r="B6" s="1435" t="s">
        <v>541</v>
      </c>
      <c r="C6" s="1435"/>
      <c r="D6" s="1435"/>
      <c r="E6" s="1435"/>
      <c r="F6" s="1435"/>
      <c r="G6" s="1435"/>
      <c r="H6" s="1435"/>
    </row>
    <row r="7" spans="1:12">
      <c r="B7" s="757"/>
      <c r="C7" s="757"/>
      <c r="D7" s="757"/>
      <c r="E7" s="757"/>
      <c r="F7" s="758"/>
      <c r="G7" s="757"/>
      <c r="H7" s="757"/>
    </row>
    <row r="8" spans="1:12">
      <c r="A8" s="708"/>
      <c r="B8" s="702" t="s">
        <v>542</v>
      </c>
      <c r="C8" s="703" t="s">
        <v>543</v>
      </c>
      <c r="D8" s="704"/>
      <c r="E8" s="704"/>
      <c r="F8" s="705" t="s">
        <v>544</v>
      </c>
      <c r="G8" s="706"/>
      <c r="H8" s="707" t="s">
        <v>545</v>
      </c>
      <c r="J8" s="759"/>
      <c r="K8" s="759"/>
      <c r="L8" s="759" t="s">
        <v>560</v>
      </c>
    </row>
    <row r="9" spans="1:12">
      <c r="A9" s="708"/>
      <c r="B9" s="709" t="s">
        <v>546</v>
      </c>
      <c r="C9" s="710" t="s">
        <v>547</v>
      </c>
      <c r="D9" s="711" t="s">
        <v>548</v>
      </c>
      <c r="E9" s="711" t="s">
        <v>561</v>
      </c>
      <c r="F9" s="712" t="s">
        <v>549</v>
      </c>
      <c r="G9" s="711" t="s">
        <v>550</v>
      </c>
      <c r="H9" s="713" t="s">
        <v>552</v>
      </c>
      <c r="I9" s="760"/>
      <c r="J9" s="759"/>
      <c r="K9" s="759"/>
      <c r="L9" s="759"/>
    </row>
    <row r="10" spans="1:12" ht="8.1" customHeight="1">
      <c r="B10" s="761"/>
      <c r="C10" s="762"/>
      <c r="D10" s="763"/>
      <c r="E10" s="763"/>
      <c r="F10" s="764"/>
      <c r="G10" s="765"/>
      <c r="H10" s="765"/>
      <c r="I10" s="760"/>
      <c r="J10" s="766">
        <f t="shared" ref="J10:J11" si="0">+D10*F10</f>
        <v>0</v>
      </c>
      <c r="K10" s="759"/>
      <c r="L10" s="759"/>
    </row>
    <row r="11" spans="1:12" ht="15" hidden="1" customHeight="1">
      <c r="B11" s="761">
        <v>42096</v>
      </c>
      <c r="C11" s="767">
        <v>13530000</v>
      </c>
      <c r="D11" s="768"/>
      <c r="E11" s="768"/>
      <c r="F11" s="764">
        <v>3.7499999999999999E-2</v>
      </c>
      <c r="G11" s="769">
        <v>0</v>
      </c>
      <c r="H11" s="769">
        <f>+D11+G11+G10</f>
        <v>0</v>
      </c>
      <c r="I11" s="760"/>
      <c r="J11" s="766">
        <f t="shared" si="0"/>
        <v>0</v>
      </c>
      <c r="K11" s="759"/>
      <c r="L11" s="770"/>
    </row>
    <row r="12" spans="1:12" ht="15.95" hidden="1" customHeight="1">
      <c r="B12" s="761">
        <v>42309</v>
      </c>
      <c r="C12" s="767">
        <f>+C11-D11-E11</f>
        <v>13530000</v>
      </c>
      <c r="D12" s="768"/>
      <c r="E12" s="768"/>
      <c r="F12" s="764">
        <f t="shared" ref="F12:F18" si="1">+F11</f>
        <v>3.7499999999999999E-2</v>
      </c>
      <c r="G12" s="769">
        <v>337079.01</v>
      </c>
      <c r="H12" s="769"/>
      <c r="I12" s="760"/>
      <c r="J12" s="766"/>
      <c r="K12" s="759"/>
      <c r="L12" s="770"/>
    </row>
    <row r="13" spans="1:12" ht="15.95" customHeight="1">
      <c r="B13" s="761">
        <v>42491</v>
      </c>
      <c r="C13" s="767">
        <f t="shared" ref="C13:C53" si="2">+C12-D12</f>
        <v>13530000</v>
      </c>
      <c r="D13" s="768">
        <v>390000</v>
      </c>
      <c r="E13" s="768"/>
      <c r="F13" s="764">
        <f t="shared" si="1"/>
        <v>3.7499999999999999E-2</v>
      </c>
      <c r="G13" s="769">
        <f t="shared" ref="G13:G17" si="3">SUM(J13:J54)/2</f>
        <v>331553.125</v>
      </c>
      <c r="H13" s="769">
        <f>+D13+G13+G12</f>
        <v>1058632.135</v>
      </c>
      <c r="I13" s="760"/>
      <c r="J13" s="766">
        <f>+D13*F13</f>
        <v>14625</v>
      </c>
      <c r="K13" s="759"/>
      <c r="L13" s="770">
        <f>+G13+G12+D13</f>
        <v>1058632.135</v>
      </c>
    </row>
    <row r="14" spans="1:12" ht="16.149999999999999" customHeight="1">
      <c r="B14" s="771">
        <v>42675</v>
      </c>
      <c r="C14" s="772">
        <f t="shared" si="2"/>
        <v>13140000</v>
      </c>
      <c r="D14" s="773"/>
      <c r="E14" s="773"/>
      <c r="F14" s="774">
        <f t="shared" si="1"/>
        <v>3.7499999999999999E-2</v>
      </c>
      <c r="G14" s="775">
        <f t="shared" si="3"/>
        <v>324240.625</v>
      </c>
      <c r="H14" s="776"/>
      <c r="I14" s="760"/>
      <c r="J14" s="766"/>
      <c r="K14" s="759"/>
      <c r="L14" s="770"/>
    </row>
    <row r="15" spans="1:12" ht="16.149999999999999" customHeight="1">
      <c r="B15" s="777">
        <v>42856</v>
      </c>
      <c r="C15" s="778">
        <f t="shared" si="2"/>
        <v>13140000</v>
      </c>
      <c r="D15" s="779">
        <v>410000</v>
      </c>
      <c r="E15" s="779"/>
      <c r="F15" s="780">
        <f t="shared" si="1"/>
        <v>3.7499999999999999E-2</v>
      </c>
      <c r="G15" s="781">
        <f t="shared" si="3"/>
        <v>324240.625</v>
      </c>
      <c r="H15" s="782">
        <f>+D15+G15+G14</f>
        <v>1058481.25</v>
      </c>
      <c r="I15" s="760"/>
      <c r="J15" s="766">
        <f>+D15*F15</f>
        <v>15375</v>
      </c>
      <c r="K15" s="759"/>
      <c r="L15" s="770">
        <f>+G15+G14+D15</f>
        <v>1058481.25</v>
      </c>
    </row>
    <row r="16" spans="1:12" ht="16.149999999999999" customHeight="1">
      <c r="B16" s="761">
        <v>43040</v>
      </c>
      <c r="C16" s="767">
        <f t="shared" si="2"/>
        <v>12730000</v>
      </c>
      <c r="D16" s="768"/>
      <c r="E16" s="768"/>
      <c r="F16" s="764">
        <f t="shared" si="1"/>
        <v>3.7499999999999999E-2</v>
      </c>
      <c r="G16" s="769">
        <f t="shared" si="3"/>
        <v>316553.125</v>
      </c>
      <c r="H16" s="769"/>
      <c r="I16" s="760"/>
      <c r="J16" s="766"/>
      <c r="K16" s="759"/>
      <c r="L16" s="770"/>
    </row>
    <row r="17" spans="2:12" ht="16.149999999999999" customHeight="1">
      <c r="B17" s="761">
        <v>43221</v>
      </c>
      <c r="C17" s="767">
        <f t="shared" si="2"/>
        <v>12730000</v>
      </c>
      <c r="D17" s="768">
        <v>425000</v>
      </c>
      <c r="E17" s="768"/>
      <c r="F17" s="764">
        <f t="shared" si="1"/>
        <v>3.7499999999999999E-2</v>
      </c>
      <c r="G17" s="769">
        <f t="shared" si="3"/>
        <v>316553.125</v>
      </c>
      <c r="H17" s="769">
        <f>+D17+G17+G16</f>
        <v>1058106.25</v>
      </c>
      <c r="I17" s="760"/>
      <c r="J17" s="766">
        <f>+D17*F17</f>
        <v>15937.5</v>
      </c>
      <c r="K17" s="759"/>
      <c r="L17" s="770">
        <f>+G17+G16+D17</f>
        <v>1058106.25</v>
      </c>
    </row>
    <row r="18" spans="2:12" ht="16.149999999999999" customHeight="1">
      <c r="B18" s="761">
        <v>43405</v>
      </c>
      <c r="C18" s="767">
        <f t="shared" si="2"/>
        <v>12305000</v>
      </c>
      <c r="D18" s="768"/>
      <c r="E18" s="768"/>
      <c r="F18" s="764">
        <f t="shared" si="1"/>
        <v>3.7499999999999999E-2</v>
      </c>
      <c r="G18" s="769">
        <f>SUM(J18:J58)/2</f>
        <v>308584.375</v>
      </c>
      <c r="H18" s="769"/>
      <c r="I18" s="760"/>
      <c r="J18" s="766"/>
      <c r="K18" s="759"/>
      <c r="L18" s="770"/>
    </row>
    <row r="19" spans="2:12" ht="16.149999999999999" customHeight="1">
      <c r="B19" s="761">
        <v>43586</v>
      </c>
      <c r="C19" s="767">
        <f t="shared" si="2"/>
        <v>12305000</v>
      </c>
      <c r="D19" s="768">
        <v>445000</v>
      </c>
      <c r="E19" s="768"/>
      <c r="F19" s="764">
        <v>4.7500000000000001E-2</v>
      </c>
      <c r="G19" s="769">
        <f>SUM(J19:J58)/2</f>
        <v>308584.375</v>
      </c>
      <c r="H19" s="769">
        <f>+D19+G19+G18</f>
        <v>1062168.75</v>
      </c>
      <c r="I19" s="760"/>
      <c r="J19" s="766">
        <f>+D19*F19</f>
        <v>21137.5</v>
      </c>
      <c r="K19" s="759"/>
      <c r="L19" s="770">
        <f>+G19+G18+D19</f>
        <v>1062168.75</v>
      </c>
    </row>
    <row r="20" spans="2:12" ht="16.149999999999999" customHeight="1">
      <c r="B20" s="761">
        <v>43770</v>
      </c>
      <c r="C20" s="767">
        <f t="shared" si="2"/>
        <v>11860000</v>
      </c>
      <c r="D20" s="768"/>
      <c r="E20" s="768"/>
      <c r="F20" s="764">
        <f t="shared" ref="F20:F32" si="4">+F19</f>
        <v>4.7500000000000001E-2</v>
      </c>
      <c r="G20" s="769">
        <f>SUM(J20:J58)/2</f>
        <v>298015.625</v>
      </c>
      <c r="H20" s="769"/>
      <c r="I20" s="760"/>
      <c r="J20" s="766"/>
      <c r="K20" s="759"/>
      <c r="L20" s="770"/>
    </row>
    <row r="21" spans="2:12" ht="16.149999999999999" customHeight="1">
      <c r="B21" s="761">
        <v>43952</v>
      </c>
      <c r="C21" s="767">
        <f t="shared" si="2"/>
        <v>11860000</v>
      </c>
      <c r="D21" s="768">
        <v>465000</v>
      </c>
      <c r="E21" s="768"/>
      <c r="F21" s="764">
        <f t="shared" si="4"/>
        <v>4.7500000000000001E-2</v>
      </c>
      <c r="G21" s="769">
        <f>SUM(J21:J58)/2</f>
        <v>298015.625</v>
      </c>
      <c r="H21" s="769">
        <f>+D21+G21+G20</f>
        <v>1061031.25</v>
      </c>
      <c r="I21" s="760"/>
      <c r="J21" s="766">
        <f>+D21*F21</f>
        <v>22087.5</v>
      </c>
      <c r="K21" s="759"/>
      <c r="L21" s="770">
        <f>+G21+G20+D21</f>
        <v>1061031.25</v>
      </c>
    </row>
    <row r="22" spans="2:12" ht="16.149999999999999" customHeight="1">
      <c r="B22" s="761">
        <v>44136</v>
      </c>
      <c r="C22" s="767">
        <f t="shared" si="2"/>
        <v>11395000</v>
      </c>
      <c r="D22" s="768"/>
      <c r="E22" s="768"/>
      <c r="F22" s="764">
        <f t="shared" si="4"/>
        <v>4.7500000000000001E-2</v>
      </c>
      <c r="G22" s="769">
        <f>SUM(J22:J58)/2</f>
        <v>286971.875</v>
      </c>
      <c r="H22" s="769"/>
      <c r="I22" s="760"/>
      <c r="J22" s="766"/>
      <c r="K22" s="759"/>
      <c r="L22" s="770"/>
    </row>
    <row r="23" spans="2:12" ht="16.149999999999999" customHeight="1">
      <c r="B23" s="761">
        <v>44317</v>
      </c>
      <c r="C23" s="767">
        <f t="shared" si="2"/>
        <v>11395000</v>
      </c>
      <c r="D23" s="768">
        <v>490000</v>
      </c>
      <c r="E23" s="768"/>
      <c r="F23" s="764">
        <f t="shared" si="4"/>
        <v>4.7500000000000001E-2</v>
      </c>
      <c r="G23" s="769">
        <f>SUM(J23:J58)/2</f>
        <v>286971.875</v>
      </c>
      <c r="H23" s="769">
        <f>+D23+G23+G22</f>
        <v>1063943.75</v>
      </c>
      <c r="I23" s="760"/>
      <c r="J23" s="766">
        <f>+D23*F23</f>
        <v>23275</v>
      </c>
      <c r="K23" s="759"/>
      <c r="L23" s="770">
        <f>+G23+G22+D23</f>
        <v>1063943.75</v>
      </c>
    </row>
    <row r="24" spans="2:12" ht="16.149999999999999" customHeight="1">
      <c r="B24" s="761">
        <v>44501</v>
      </c>
      <c r="C24" s="767">
        <f t="shared" si="2"/>
        <v>10905000</v>
      </c>
      <c r="D24" s="768"/>
      <c r="E24" s="768"/>
      <c r="F24" s="764">
        <f t="shared" si="4"/>
        <v>4.7500000000000001E-2</v>
      </c>
      <c r="G24" s="769">
        <f>SUM(J24:J58)/2</f>
        <v>275334.375</v>
      </c>
      <c r="H24" s="769"/>
      <c r="I24" s="760"/>
      <c r="J24" s="766"/>
      <c r="K24" s="759"/>
      <c r="L24" s="770"/>
    </row>
    <row r="25" spans="2:12" ht="16.149999999999999" customHeight="1">
      <c r="B25" s="761">
        <v>44682</v>
      </c>
      <c r="C25" s="767">
        <f t="shared" si="2"/>
        <v>10905000</v>
      </c>
      <c r="D25" s="768">
        <v>510000</v>
      </c>
      <c r="E25" s="768"/>
      <c r="F25" s="764">
        <f t="shared" si="4"/>
        <v>4.7500000000000001E-2</v>
      </c>
      <c r="G25" s="769">
        <f>SUM(J25:J58)/2</f>
        <v>275334.375</v>
      </c>
      <c r="H25" s="769">
        <f>+D25+G25+G24</f>
        <v>1060668.75</v>
      </c>
      <c r="I25" s="760"/>
      <c r="J25" s="766">
        <f>+D25*F25</f>
        <v>24225</v>
      </c>
      <c r="K25" s="759"/>
      <c r="L25" s="770">
        <f>+G25+G24+D25</f>
        <v>1060668.75</v>
      </c>
    </row>
    <row r="26" spans="2:12" ht="16.149999999999999" customHeight="1">
      <c r="B26" s="761">
        <v>44866</v>
      </c>
      <c r="C26" s="767">
        <f t="shared" si="2"/>
        <v>10395000</v>
      </c>
      <c r="D26" s="768"/>
      <c r="E26" s="768"/>
      <c r="F26" s="764">
        <f t="shared" si="4"/>
        <v>4.7500000000000001E-2</v>
      </c>
      <c r="G26" s="769">
        <f>SUM(J26:J58)/2</f>
        <v>263221.875</v>
      </c>
      <c r="H26" s="769"/>
      <c r="I26" s="760"/>
      <c r="J26" s="766"/>
      <c r="K26" s="759"/>
      <c r="L26" s="770"/>
    </row>
    <row r="27" spans="2:12" ht="16.149999999999999" customHeight="1">
      <c r="B27" s="761">
        <v>45047</v>
      </c>
      <c r="C27" s="767">
        <f t="shared" si="2"/>
        <v>10395000</v>
      </c>
      <c r="D27" s="768">
        <v>535000</v>
      </c>
      <c r="E27" s="768"/>
      <c r="F27" s="764">
        <f t="shared" si="4"/>
        <v>4.7500000000000001E-2</v>
      </c>
      <c r="G27" s="769">
        <f>SUM(J27:J58)/2</f>
        <v>263221.875</v>
      </c>
      <c r="H27" s="769">
        <f>+D27+G27+G26</f>
        <v>1061443.75</v>
      </c>
      <c r="I27" s="760"/>
      <c r="J27" s="766">
        <f>+D27*F27</f>
        <v>25412.5</v>
      </c>
      <c r="K27" s="759"/>
      <c r="L27" s="770">
        <f>+G27+G26+D27</f>
        <v>1061443.75</v>
      </c>
    </row>
    <row r="28" spans="2:12" ht="16.149999999999999" customHeight="1">
      <c r="B28" s="761">
        <v>45231</v>
      </c>
      <c r="C28" s="767">
        <f t="shared" si="2"/>
        <v>9860000</v>
      </c>
      <c r="D28" s="768"/>
      <c r="E28" s="769"/>
      <c r="F28" s="764">
        <f t="shared" si="4"/>
        <v>4.7500000000000001E-2</v>
      </c>
      <c r="G28" s="769">
        <f t="shared" ref="G28:G53" si="5">SUM(J28:J58)/2</f>
        <v>250515.625</v>
      </c>
      <c r="H28" s="769"/>
      <c r="I28" s="760"/>
      <c r="J28" s="766"/>
      <c r="K28" s="759"/>
      <c r="L28" s="770"/>
    </row>
    <row r="29" spans="2:12" ht="16.149999999999999" customHeight="1">
      <c r="B29" s="761">
        <v>45413</v>
      </c>
      <c r="C29" s="767">
        <f t="shared" si="2"/>
        <v>9860000</v>
      </c>
      <c r="D29" s="768">
        <v>560000</v>
      </c>
      <c r="E29" s="768"/>
      <c r="F29" s="764">
        <f t="shared" si="4"/>
        <v>4.7500000000000001E-2</v>
      </c>
      <c r="G29" s="769">
        <f t="shared" si="5"/>
        <v>250515.625</v>
      </c>
      <c r="H29" s="769">
        <f>+D29+G29+G28</f>
        <v>1061031.25</v>
      </c>
      <c r="I29" s="760"/>
      <c r="J29" s="766">
        <f>+D29*F29</f>
        <v>26600</v>
      </c>
      <c r="K29" s="759"/>
      <c r="L29" s="770">
        <f>+G29+G28+D29</f>
        <v>1061031.25</v>
      </c>
    </row>
    <row r="30" spans="2:12" ht="16.149999999999999" customHeight="1">
      <c r="B30" s="761">
        <v>45597</v>
      </c>
      <c r="C30" s="767">
        <f t="shared" si="2"/>
        <v>9300000</v>
      </c>
      <c r="D30" s="769"/>
      <c r="E30" s="769"/>
      <c r="F30" s="764">
        <f t="shared" si="4"/>
        <v>4.7500000000000001E-2</v>
      </c>
      <c r="G30" s="769">
        <f t="shared" si="5"/>
        <v>237215.625</v>
      </c>
      <c r="H30" s="769"/>
      <c r="I30" s="760"/>
      <c r="J30" s="766"/>
      <c r="K30" s="759"/>
      <c r="L30" s="770"/>
    </row>
    <row r="31" spans="2:12" ht="16.149999999999999" customHeight="1">
      <c r="B31" s="761">
        <v>45778</v>
      </c>
      <c r="C31" s="767">
        <f t="shared" si="2"/>
        <v>9300000</v>
      </c>
      <c r="D31" s="768">
        <v>585000</v>
      </c>
      <c r="E31" s="768"/>
      <c r="F31" s="764">
        <f t="shared" si="4"/>
        <v>4.7500000000000001E-2</v>
      </c>
      <c r="G31" s="769">
        <f t="shared" si="5"/>
        <v>237215.625</v>
      </c>
      <c r="H31" s="769">
        <f>+D31+G31+G30</f>
        <v>1059431.25</v>
      </c>
      <c r="I31" s="760"/>
      <c r="J31" s="766">
        <f>+D31*F31</f>
        <v>27787.5</v>
      </c>
      <c r="K31" s="759"/>
      <c r="L31" s="770">
        <f>+G31+G30+D31</f>
        <v>1059431.25</v>
      </c>
    </row>
    <row r="32" spans="2:12" ht="16.149999999999999" customHeight="1">
      <c r="B32" s="761">
        <v>45962</v>
      </c>
      <c r="C32" s="767">
        <f t="shared" si="2"/>
        <v>8715000</v>
      </c>
      <c r="D32" s="769"/>
      <c r="E32" s="769"/>
      <c r="F32" s="764">
        <f t="shared" si="4"/>
        <v>4.7500000000000001E-2</v>
      </c>
      <c r="G32" s="769">
        <f t="shared" si="5"/>
        <v>223321.875</v>
      </c>
      <c r="H32" s="769"/>
      <c r="I32" s="760"/>
      <c r="J32" s="766"/>
      <c r="K32" s="759"/>
      <c r="L32" s="770"/>
    </row>
    <row r="33" spans="2:12" ht="16.149999999999999" customHeight="1">
      <c r="B33" s="761">
        <v>46143</v>
      </c>
      <c r="C33" s="767">
        <f t="shared" si="2"/>
        <v>8715000</v>
      </c>
      <c r="D33" s="768">
        <v>610000</v>
      </c>
      <c r="E33" s="768"/>
      <c r="F33" s="764">
        <v>5.1249999999999997E-2</v>
      </c>
      <c r="G33" s="769">
        <f t="shared" si="5"/>
        <v>223321.875</v>
      </c>
      <c r="H33" s="769">
        <f>+D33+G33+G32</f>
        <v>1056643.75</v>
      </c>
      <c r="I33" s="760"/>
      <c r="J33" s="766">
        <f>+D33*F33</f>
        <v>31262.499999999996</v>
      </c>
      <c r="K33" s="759"/>
      <c r="L33" s="770">
        <f>+G33+G32+D33</f>
        <v>1056643.75</v>
      </c>
    </row>
    <row r="34" spans="2:12" ht="16.149999999999999" customHeight="1">
      <c r="B34" s="761">
        <v>46327</v>
      </c>
      <c r="C34" s="767">
        <f t="shared" si="2"/>
        <v>8105000</v>
      </c>
      <c r="D34" s="769"/>
      <c r="E34" s="768"/>
      <c r="F34" s="764">
        <v>5.1249999999999997E-2</v>
      </c>
      <c r="G34" s="769">
        <f t="shared" si="5"/>
        <v>207690.625</v>
      </c>
      <c r="H34" s="769"/>
      <c r="I34" s="760"/>
      <c r="J34" s="766"/>
      <c r="K34" s="759"/>
      <c r="L34" s="770"/>
    </row>
    <row r="35" spans="2:12" ht="16.149999999999999" customHeight="1">
      <c r="B35" s="761">
        <v>46508</v>
      </c>
      <c r="C35" s="767">
        <f t="shared" si="2"/>
        <v>8105000</v>
      </c>
      <c r="D35" s="768">
        <v>640000</v>
      </c>
      <c r="E35" s="768"/>
      <c r="F35" s="764">
        <f t="shared" ref="F35:F53" si="6">+F34</f>
        <v>5.1249999999999997E-2</v>
      </c>
      <c r="G35" s="769">
        <f t="shared" si="5"/>
        <v>207690.625</v>
      </c>
      <c r="H35" s="769">
        <f>+D35+G35+G34</f>
        <v>1055381.25</v>
      </c>
      <c r="I35" s="760"/>
      <c r="J35" s="766">
        <f>+D35*F35</f>
        <v>32800</v>
      </c>
      <c r="K35" s="759"/>
      <c r="L35" s="770">
        <f>+G35+G34+D35</f>
        <v>1055381.25</v>
      </c>
    </row>
    <row r="36" spans="2:12" ht="16.149999999999999" customHeight="1">
      <c r="B36" s="761">
        <v>46692</v>
      </c>
      <c r="C36" s="767">
        <f t="shared" si="2"/>
        <v>7465000</v>
      </c>
      <c r="D36" s="768"/>
      <c r="E36" s="768"/>
      <c r="F36" s="764">
        <f t="shared" si="6"/>
        <v>5.1249999999999997E-2</v>
      </c>
      <c r="G36" s="769">
        <f t="shared" si="5"/>
        <v>191290.625</v>
      </c>
      <c r="H36" s="769"/>
      <c r="I36" s="760"/>
      <c r="J36" s="766"/>
      <c r="K36" s="759"/>
      <c r="L36" s="770"/>
    </row>
    <row r="37" spans="2:12" ht="16.149999999999999" customHeight="1">
      <c r="B37" s="761">
        <v>46874</v>
      </c>
      <c r="C37" s="767">
        <f t="shared" si="2"/>
        <v>7465000</v>
      </c>
      <c r="D37" s="768">
        <v>675000</v>
      </c>
      <c r="E37" s="768"/>
      <c r="F37" s="764">
        <f t="shared" si="6"/>
        <v>5.1249999999999997E-2</v>
      </c>
      <c r="G37" s="769">
        <f t="shared" si="5"/>
        <v>191290.625</v>
      </c>
      <c r="H37" s="769">
        <f>+D37+G37+G36</f>
        <v>1057581.25</v>
      </c>
      <c r="I37" s="760"/>
      <c r="J37" s="766">
        <f>+D37*F37</f>
        <v>34593.75</v>
      </c>
      <c r="K37" s="759"/>
      <c r="L37" s="770">
        <f>+G37+G36+D37</f>
        <v>1057581.25</v>
      </c>
    </row>
    <row r="38" spans="2:12" ht="16.149999999999999" customHeight="1">
      <c r="B38" s="761">
        <v>47058</v>
      </c>
      <c r="C38" s="767">
        <f t="shared" si="2"/>
        <v>6790000</v>
      </c>
      <c r="D38" s="768"/>
      <c r="E38" s="768"/>
      <c r="F38" s="764">
        <f t="shared" si="6"/>
        <v>5.1249999999999997E-2</v>
      </c>
      <c r="G38" s="769">
        <f t="shared" si="5"/>
        <v>173993.75</v>
      </c>
      <c r="H38" s="769"/>
      <c r="I38" s="760"/>
      <c r="J38" s="766"/>
      <c r="K38" s="759"/>
      <c r="L38" s="770"/>
    </row>
    <row r="39" spans="2:12" ht="16.149999999999999" customHeight="1">
      <c r="B39" s="761">
        <v>47239</v>
      </c>
      <c r="C39" s="767">
        <f t="shared" si="2"/>
        <v>6790000</v>
      </c>
      <c r="D39" s="768">
        <v>715000</v>
      </c>
      <c r="E39" s="768"/>
      <c r="F39" s="764">
        <f t="shared" si="6"/>
        <v>5.1249999999999997E-2</v>
      </c>
      <c r="G39" s="769">
        <f t="shared" si="5"/>
        <v>173993.75</v>
      </c>
      <c r="H39" s="769">
        <f>+D39+G39+G38</f>
        <v>1062987.5</v>
      </c>
      <c r="I39" s="760"/>
      <c r="J39" s="766">
        <f>+D39*F39</f>
        <v>36643.75</v>
      </c>
      <c r="K39" s="759"/>
      <c r="L39" s="770">
        <f>+G39+G38+D39</f>
        <v>1062987.5</v>
      </c>
    </row>
    <row r="40" spans="2:12" ht="16.149999999999999" customHeight="1">
      <c r="B40" s="761">
        <v>47423</v>
      </c>
      <c r="C40" s="767">
        <f t="shared" si="2"/>
        <v>6075000</v>
      </c>
      <c r="D40" s="768"/>
      <c r="E40" s="768"/>
      <c r="F40" s="764">
        <f t="shared" si="6"/>
        <v>5.1249999999999997E-2</v>
      </c>
      <c r="G40" s="769">
        <f t="shared" si="5"/>
        <v>155671.875</v>
      </c>
      <c r="H40" s="769"/>
      <c r="I40" s="760"/>
      <c r="J40" s="766"/>
      <c r="K40" s="759"/>
      <c r="L40" s="770"/>
    </row>
    <row r="41" spans="2:12" ht="16.149999999999999" customHeight="1">
      <c r="B41" s="761">
        <v>47604</v>
      </c>
      <c r="C41" s="767">
        <f t="shared" si="2"/>
        <v>6075000</v>
      </c>
      <c r="D41" s="768">
        <v>745000</v>
      </c>
      <c r="E41" s="768"/>
      <c r="F41" s="764">
        <f t="shared" si="6"/>
        <v>5.1249999999999997E-2</v>
      </c>
      <c r="G41" s="769">
        <f t="shared" si="5"/>
        <v>155671.875</v>
      </c>
      <c r="H41" s="769">
        <f>+D41+G41+G40</f>
        <v>1056343.75</v>
      </c>
      <c r="I41" s="760"/>
      <c r="J41" s="766">
        <f>+D41*F41</f>
        <v>38181.25</v>
      </c>
      <c r="K41" s="759"/>
      <c r="L41" s="770">
        <f>+G41+G40+D41</f>
        <v>1056343.75</v>
      </c>
    </row>
    <row r="42" spans="2:12" ht="16.149999999999999" customHeight="1">
      <c r="B42" s="761">
        <v>47788</v>
      </c>
      <c r="C42" s="767">
        <f t="shared" si="2"/>
        <v>5330000</v>
      </c>
      <c r="D42" s="768"/>
      <c r="E42" s="768"/>
      <c r="F42" s="764">
        <f t="shared" si="6"/>
        <v>5.1249999999999997E-2</v>
      </c>
      <c r="G42" s="769">
        <f t="shared" si="5"/>
        <v>136581.25</v>
      </c>
      <c r="H42" s="769"/>
      <c r="I42" s="760"/>
      <c r="J42" s="766"/>
      <c r="K42" s="759"/>
      <c r="L42" s="770"/>
    </row>
    <row r="43" spans="2:12" ht="16.149999999999999" customHeight="1">
      <c r="B43" s="761">
        <v>47969</v>
      </c>
      <c r="C43" s="767">
        <f t="shared" si="2"/>
        <v>5330000</v>
      </c>
      <c r="D43" s="768">
        <v>780000</v>
      </c>
      <c r="E43" s="768"/>
      <c r="F43" s="764">
        <f t="shared" si="6"/>
        <v>5.1249999999999997E-2</v>
      </c>
      <c r="G43" s="769">
        <f t="shared" si="5"/>
        <v>136581.25</v>
      </c>
      <c r="H43" s="769">
        <f>+D43+G43+G42</f>
        <v>1053162.5</v>
      </c>
      <c r="I43" s="760"/>
      <c r="J43" s="766">
        <f>+D43*F43</f>
        <v>39975</v>
      </c>
      <c r="K43" s="759"/>
      <c r="L43" s="770">
        <f>+G43+G42+D43</f>
        <v>1053162.5</v>
      </c>
    </row>
    <row r="44" spans="2:12" ht="16.149999999999999" customHeight="1">
      <c r="B44" s="761">
        <v>48153</v>
      </c>
      <c r="C44" s="767">
        <f t="shared" si="2"/>
        <v>4550000</v>
      </c>
      <c r="D44" s="768"/>
      <c r="E44" s="768"/>
      <c r="F44" s="764">
        <f t="shared" si="6"/>
        <v>5.1249999999999997E-2</v>
      </c>
      <c r="G44" s="769">
        <f t="shared" si="5"/>
        <v>116593.75</v>
      </c>
      <c r="H44" s="769"/>
      <c r="I44" s="760"/>
      <c r="J44" s="766"/>
      <c r="K44" s="759"/>
      <c r="L44" s="770"/>
    </row>
    <row r="45" spans="2:12" ht="16.149999999999999" customHeight="1">
      <c r="B45" s="761">
        <v>48335</v>
      </c>
      <c r="C45" s="767">
        <f t="shared" si="2"/>
        <v>4550000</v>
      </c>
      <c r="D45" s="768">
        <v>820000</v>
      </c>
      <c r="E45" s="768"/>
      <c r="F45" s="764">
        <f t="shared" si="6"/>
        <v>5.1249999999999997E-2</v>
      </c>
      <c r="G45" s="769">
        <f t="shared" si="5"/>
        <v>116593.75</v>
      </c>
      <c r="H45" s="769">
        <f>+D45+G45+G44</f>
        <v>1053187.5</v>
      </c>
      <c r="I45" s="760"/>
      <c r="J45" s="766">
        <f t="shared" ref="J45:J53" si="7">+D45*F45</f>
        <v>42025</v>
      </c>
      <c r="K45" s="759"/>
      <c r="L45" s="770">
        <f>+G45+G44+D45</f>
        <v>1053187.5</v>
      </c>
    </row>
    <row r="46" spans="2:12" ht="16.149999999999999" customHeight="1">
      <c r="B46" s="761">
        <v>48519</v>
      </c>
      <c r="C46" s="767">
        <f t="shared" si="2"/>
        <v>3730000</v>
      </c>
      <c r="D46" s="768"/>
      <c r="E46" s="768"/>
      <c r="F46" s="764">
        <f t="shared" si="6"/>
        <v>5.1249999999999997E-2</v>
      </c>
      <c r="G46" s="769">
        <f t="shared" si="5"/>
        <v>95581.25</v>
      </c>
      <c r="H46" s="769"/>
      <c r="I46" s="760"/>
      <c r="J46" s="766">
        <f t="shared" si="7"/>
        <v>0</v>
      </c>
      <c r="K46" s="759"/>
      <c r="L46" s="770"/>
    </row>
    <row r="47" spans="2:12" ht="16.149999999999999" customHeight="1">
      <c r="B47" s="761">
        <v>48700</v>
      </c>
      <c r="C47" s="767">
        <f t="shared" si="2"/>
        <v>3730000</v>
      </c>
      <c r="D47" s="768">
        <v>865000</v>
      </c>
      <c r="E47" s="768"/>
      <c r="F47" s="764">
        <f t="shared" si="6"/>
        <v>5.1249999999999997E-2</v>
      </c>
      <c r="G47" s="769">
        <f t="shared" si="5"/>
        <v>95581.25</v>
      </c>
      <c r="H47" s="769">
        <f>+D47+G47+G46</f>
        <v>1056162.5</v>
      </c>
      <c r="I47" s="760"/>
      <c r="J47" s="766">
        <f t="shared" si="7"/>
        <v>44331.25</v>
      </c>
      <c r="K47" s="759"/>
      <c r="L47" s="770">
        <f>+G47+G46+D47</f>
        <v>1056162.5</v>
      </c>
    </row>
    <row r="48" spans="2:12" ht="16.149999999999999" customHeight="1">
      <c r="B48" s="761">
        <v>48884</v>
      </c>
      <c r="C48" s="767">
        <f t="shared" si="2"/>
        <v>2865000</v>
      </c>
      <c r="D48" s="768"/>
      <c r="E48" s="768"/>
      <c r="F48" s="764">
        <f t="shared" si="6"/>
        <v>5.1249999999999997E-2</v>
      </c>
      <c r="G48" s="769">
        <f t="shared" si="5"/>
        <v>73415.625</v>
      </c>
      <c r="H48" s="769"/>
      <c r="I48" s="760"/>
      <c r="J48" s="766">
        <f t="shared" si="7"/>
        <v>0</v>
      </c>
      <c r="K48" s="759"/>
      <c r="L48" s="770"/>
    </row>
    <row r="49" spans="2:12" ht="16.149999999999999" customHeight="1">
      <c r="B49" s="761">
        <v>49065</v>
      </c>
      <c r="C49" s="767">
        <f t="shared" si="2"/>
        <v>2865000</v>
      </c>
      <c r="D49" s="768">
        <v>905000</v>
      </c>
      <c r="E49" s="768"/>
      <c r="F49" s="764">
        <f t="shared" si="6"/>
        <v>5.1249999999999997E-2</v>
      </c>
      <c r="G49" s="769">
        <f t="shared" si="5"/>
        <v>73415.625</v>
      </c>
      <c r="H49" s="769">
        <f>+D49+G49+G48</f>
        <v>1051831.25</v>
      </c>
      <c r="I49" s="760"/>
      <c r="J49" s="766">
        <f t="shared" si="7"/>
        <v>46381.25</v>
      </c>
      <c r="K49" s="759"/>
      <c r="L49" s="770">
        <f>+G49+G48+D49</f>
        <v>1051831.25</v>
      </c>
    </row>
    <row r="50" spans="2:12" ht="16.149999999999999" customHeight="1">
      <c r="B50" s="761">
        <v>49249</v>
      </c>
      <c r="C50" s="767">
        <f t="shared" si="2"/>
        <v>1960000</v>
      </c>
      <c r="D50" s="768"/>
      <c r="E50" s="768"/>
      <c r="F50" s="764">
        <f t="shared" si="6"/>
        <v>5.1249999999999997E-2</v>
      </c>
      <c r="G50" s="769">
        <f t="shared" si="5"/>
        <v>50225</v>
      </c>
      <c r="H50" s="769"/>
      <c r="I50" s="760"/>
      <c r="J50" s="766">
        <f t="shared" si="7"/>
        <v>0</v>
      </c>
      <c r="K50" s="759"/>
      <c r="L50" s="770"/>
    </row>
    <row r="51" spans="2:12" ht="16.149999999999999" customHeight="1">
      <c r="B51" s="761">
        <v>49430</v>
      </c>
      <c r="C51" s="767">
        <f t="shared" si="2"/>
        <v>1960000</v>
      </c>
      <c r="D51" s="768">
        <v>955000</v>
      </c>
      <c r="E51" s="768"/>
      <c r="F51" s="764">
        <f t="shared" si="6"/>
        <v>5.1249999999999997E-2</v>
      </c>
      <c r="G51" s="769">
        <f t="shared" si="5"/>
        <v>50225</v>
      </c>
      <c r="H51" s="769">
        <f>+D51+G51+G50</f>
        <v>1055450</v>
      </c>
      <c r="I51" s="760"/>
      <c r="J51" s="766">
        <f t="shared" si="7"/>
        <v>48943.75</v>
      </c>
      <c r="K51" s="759"/>
      <c r="L51" s="770">
        <f>+G51+G50+D51</f>
        <v>1055450</v>
      </c>
    </row>
    <row r="52" spans="2:12" ht="16.149999999999999" customHeight="1">
      <c r="B52" s="761">
        <v>49614</v>
      </c>
      <c r="C52" s="767">
        <f t="shared" si="2"/>
        <v>1005000</v>
      </c>
      <c r="D52" s="768"/>
      <c r="E52" s="768"/>
      <c r="F52" s="764">
        <f t="shared" si="6"/>
        <v>5.1249999999999997E-2</v>
      </c>
      <c r="G52" s="769">
        <f t="shared" si="5"/>
        <v>25753.125</v>
      </c>
      <c r="H52" s="769"/>
      <c r="I52" s="760"/>
      <c r="J52" s="766">
        <f t="shared" si="7"/>
        <v>0</v>
      </c>
      <c r="K52" s="759"/>
      <c r="L52" s="770"/>
    </row>
    <row r="53" spans="2:12" ht="16.149999999999999" customHeight="1">
      <c r="B53" s="761">
        <v>49796</v>
      </c>
      <c r="C53" s="767">
        <f t="shared" si="2"/>
        <v>1005000</v>
      </c>
      <c r="D53" s="768">
        <v>1005000</v>
      </c>
      <c r="E53" s="768"/>
      <c r="F53" s="764">
        <f t="shared" si="6"/>
        <v>5.1249999999999997E-2</v>
      </c>
      <c r="G53" s="769">
        <f t="shared" si="5"/>
        <v>25753.125</v>
      </c>
      <c r="H53" s="769">
        <f>+D53+G53+G52</f>
        <v>1056506.25</v>
      </c>
      <c r="I53" s="760"/>
      <c r="J53" s="766">
        <f t="shared" si="7"/>
        <v>51506.25</v>
      </c>
      <c r="K53" s="759"/>
      <c r="L53" s="770">
        <f>+G53+G52+D53</f>
        <v>1056506.25</v>
      </c>
    </row>
    <row r="54" spans="2:12" ht="8.1" customHeight="1">
      <c r="B54" s="761"/>
      <c r="C54" s="762"/>
      <c r="D54" s="768"/>
      <c r="E54" s="768"/>
      <c r="F54" s="764"/>
      <c r="G54" s="769"/>
      <c r="H54" s="769"/>
      <c r="I54" s="760"/>
      <c r="J54" s="766"/>
      <c r="K54" s="759"/>
      <c r="L54" s="770"/>
    </row>
    <row r="55" spans="2:12" ht="16.149999999999999" customHeight="1">
      <c r="B55" s="783" t="s">
        <v>148</v>
      </c>
      <c r="C55" s="784"/>
      <c r="D55" s="785">
        <f>SUM(D14:D54)</f>
        <v>13140000</v>
      </c>
      <c r="E55" s="785"/>
      <c r="F55" s="786"/>
      <c r="G55" s="785">
        <f>SUM(G14:G54)</f>
        <v>8021543.75</v>
      </c>
      <c r="H55" s="785">
        <f>SUM(H14:H54)</f>
        <v>21161543.75</v>
      </c>
      <c r="I55" s="787">
        <v>0</v>
      </c>
      <c r="J55" s="787"/>
      <c r="K55" s="787">
        <v>0</v>
      </c>
      <c r="L55" s="787">
        <f>SUM(L10:L54)</f>
        <v>22220175.884999998</v>
      </c>
    </row>
    <row r="58" spans="2:12" ht="15.95" customHeight="1"/>
    <row r="59" spans="2:12" ht="15.95" customHeight="1"/>
    <row r="60" spans="2:12" ht="15.95" customHeight="1"/>
    <row r="61" spans="2:12" ht="15.95" customHeight="1"/>
  </sheetData>
  <sheetProtection selectLockedCells="1" selectUnlockedCells="1"/>
  <mergeCells count="5">
    <mergeCell ref="A1:H1"/>
    <mergeCell ref="A2:F2"/>
    <mergeCell ref="A3:F3"/>
    <mergeCell ref="B5:H5"/>
    <mergeCell ref="B6:H6"/>
  </mergeCells>
  <printOptions horizontalCentered="1"/>
  <pageMargins left="0.75" right="0.75" top="1.213888888888889" bottom="0.9" header="0.4" footer="0.35"/>
  <pageSetup scale="80" firstPageNumber="0" orientation="portrait" horizontalDpi="300" verticalDpi="300"/>
  <headerFooter alignWithMargins="0">
    <oddHeader>&amp;L&amp;"Arial black,Bold"&amp;15HARMONY
&amp;"Arial,Regular"&amp;14Community Development District&amp;R&amp;"Arial black,Bold"&amp;15 
&amp;"Arial,Italic"&amp;13Series 2015 Debt Service Fund</oddHeader>
    <oddFooter>&amp;LAnnual Operating and Debt Service Budget
Fiscal Year 2017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V47"/>
  <sheetViews>
    <sheetView topLeftCell="B9" zoomScale="115" zoomScaleNormal="115" zoomScaleSheetLayoutView="115" workbookViewId="0">
      <pane ySplit="2" topLeftCell="A11" activePane="bottomLeft" state="frozen"/>
      <selection activeCell="B9" sqref="B9"/>
      <selection pane="bottomLeft"/>
    </sheetView>
  </sheetViews>
  <sheetFormatPr defaultRowHeight="12.75"/>
  <cols>
    <col min="1" max="1" width="0" style="55" hidden="1" customWidth="1"/>
    <col min="2" max="2" width="41.7109375" style="55" customWidth="1"/>
    <col min="3" max="3" width="1.7109375" style="55" customWidth="1"/>
    <col min="4" max="4" width="14.28515625" style="55" customWidth="1"/>
    <col min="5" max="5" width="1.7109375" style="55" customWidth="1"/>
    <col min="6" max="6" width="14.28515625" style="55" customWidth="1"/>
    <col min="7" max="7" width="1.7109375" style="55" customWidth="1"/>
    <col min="8" max="8" width="65.7109375" style="55" customWidth="1"/>
    <col min="9" max="9" width="2.7109375" style="55" customWidth="1"/>
    <col min="10" max="10" width="36.7109375" style="55" customWidth="1"/>
    <col min="11" max="16384" width="9.140625" style="55"/>
  </cols>
  <sheetData>
    <row r="1" spans="1:9" hidden="1">
      <c r="A1" s="55" t="s">
        <v>492</v>
      </c>
      <c r="B1" s="612"/>
    </row>
    <row r="2" spans="1:9" hidden="1">
      <c r="A2" s="55" t="s">
        <v>493</v>
      </c>
    </row>
    <row r="3" spans="1:9" hidden="1">
      <c r="B3" s="1429"/>
      <c r="C3" s="1429"/>
      <c r="D3" s="1429"/>
      <c r="E3" s="1429"/>
      <c r="F3" s="1429"/>
      <c r="G3" s="1429"/>
      <c r="H3" s="1429"/>
      <c r="I3" s="1429"/>
    </row>
    <row r="4" spans="1:9" hidden="1"/>
    <row r="5" spans="1:9" ht="18" hidden="1">
      <c r="B5" s="1431"/>
      <c r="C5" s="1431"/>
      <c r="D5" s="1431"/>
      <c r="E5" s="1431"/>
      <c r="F5" s="1431"/>
    </row>
    <row r="6" spans="1:9" ht="18">
      <c r="B6" s="1431" t="str">
        <f>IF(OVERRIDE_DN="",CDD,OVERRIDE_DN)</f>
        <v>Harmony</v>
      </c>
      <c r="C6" s="1431"/>
      <c r="D6" s="1431"/>
      <c r="E6" s="1431"/>
      <c r="F6" s="1431"/>
    </row>
    <row r="7" spans="1:9" ht="18">
      <c r="B7" s="1431" t="str">
        <f>IF(OVERRIDE_TYPE="",CDD_NAME,OVERRIDE_TYPE)</f>
        <v>Community Development District</v>
      </c>
      <c r="C7" s="1431"/>
      <c r="D7" s="1431"/>
      <c r="E7" s="1431"/>
      <c r="F7" s="1431"/>
      <c r="G7" s="614"/>
      <c r="H7" s="614"/>
      <c r="I7" s="614"/>
    </row>
    <row r="8" spans="1:9">
      <c r="B8" s="788"/>
      <c r="C8" s="788"/>
      <c r="D8" s="788"/>
      <c r="E8" s="788"/>
      <c r="F8" s="788"/>
      <c r="G8" s="788"/>
      <c r="H8" s="788"/>
      <c r="I8" s="788"/>
    </row>
    <row r="9" spans="1:9" ht="15.75" customHeight="1">
      <c r="B9" s="1432" t="s">
        <v>562</v>
      </c>
      <c r="C9" s="1432"/>
      <c r="D9" s="1432"/>
      <c r="E9" s="1432"/>
      <c r="F9" s="1432"/>
      <c r="G9" s="789"/>
      <c r="H9" s="789"/>
      <c r="I9" s="614"/>
    </row>
    <row r="10" spans="1:9" ht="15.75" customHeight="1">
      <c r="B10" s="1432" t="s">
        <v>563</v>
      </c>
      <c r="C10" s="1432"/>
      <c r="D10" s="1432"/>
      <c r="E10" s="1432"/>
      <c r="F10" s="1432"/>
      <c r="G10" s="790"/>
      <c r="H10" s="790"/>
      <c r="I10" s="791"/>
    </row>
    <row r="11" spans="1:9" s="52" customFormat="1" ht="8.1" customHeight="1">
      <c r="B11" s="792"/>
      <c r="C11" s="792"/>
      <c r="D11" s="792"/>
      <c r="E11" s="792"/>
      <c r="F11" s="792"/>
      <c r="G11" s="792"/>
      <c r="H11" s="792"/>
      <c r="I11" s="793"/>
    </row>
    <row r="12" spans="1:9" s="52" customFormat="1" ht="12" hidden="1">
      <c r="B12" s="794"/>
      <c r="C12" s="794"/>
      <c r="D12" s="794"/>
      <c r="E12" s="794"/>
      <c r="F12" s="794"/>
      <c r="G12" s="53"/>
      <c r="H12" s="794"/>
    </row>
    <row r="13" spans="1:9" s="52" customFormat="1" ht="12">
      <c r="B13" s="53"/>
      <c r="C13" s="53"/>
      <c r="D13" s="795" t="s">
        <v>166</v>
      </c>
      <c r="E13" s="630"/>
      <c r="F13" s="795" t="s">
        <v>166</v>
      </c>
      <c r="G13" s="53"/>
      <c r="H13" s="794"/>
    </row>
    <row r="14" spans="1:9" s="52" customFormat="1" ht="12">
      <c r="B14" s="53"/>
      <c r="C14" s="53"/>
      <c r="D14" s="626" t="s">
        <v>116</v>
      </c>
      <c r="E14" s="796"/>
      <c r="F14" s="626" t="s">
        <v>121</v>
      </c>
      <c r="G14" s="53"/>
      <c r="H14" s="626" t="s">
        <v>497</v>
      </c>
    </row>
    <row r="15" spans="1:9" s="52" customFormat="1" ht="8.1" customHeight="1">
      <c r="B15" s="53"/>
      <c r="C15" s="53"/>
      <c r="D15" s="797"/>
      <c r="E15" s="797"/>
      <c r="F15" s="797"/>
      <c r="G15" s="53"/>
      <c r="H15" s="794"/>
    </row>
    <row r="16" spans="1:9" s="52" customFormat="1" ht="12" hidden="1">
      <c r="B16" s="53"/>
      <c r="C16" s="53"/>
      <c r="D16" s="798"/>
      <c r="E16" s="798"/>
      <c r="F16" s="798"/>
      <c r="G16" s="53"/>
      <c r="H16" s="794"/>
    </row>
    <row r="17" spans="2:8">
      <c r="B17" s="799" t="str">
        <f>'Exhibit A'!B15</f>
        <v>AVAILABLE FUNDS</v>
      </c>
      <c r="C17" s="57"/>
      <c r="D17" s="800"/>
      <c r="E17" s="800"/>
      <c r="F17" s="800"/>
      <c r="G17" s="57"/>
      <c r="H17" s="801"/>
    </row>
    <row r="18" spans="2:8" s="52" customFormat="1" ht="9.9499999999999993" customHeight="1">
      <c r="B18" s="53"/>
      <c r="C18" s="53"/>
      <c r="D18" s="798"/>
      <c r="E18" s="798"/>
      <c r="F18" s="798"/>
      <c r="G18" s="53"/>
      <c r="H18" s="794"/>
    </row>
    <row r="19" spans="2:8" s="52" customFormat="1" ht="12">
      <c r="B19" s="802" t="str">
        <f>"Beginning Fund Balance - Fiscal Year "&amp;Budget_Fiscal_Year</f>
        <v>Beginning Fund Balance - Fiscal Year 2017</v>
      </c>
      <c r="C19" s="662"/>
      <c r="D19" s="637">
        <f ca="1">'203'!AP127</f>
        <v>1110180</v>
      </c>
      <c r="E19" s="354"/>
      <c r="F19" s="637">
        <f ca="1">'204'!AP133</f>
        <v>381339.875</v>
      </c>
      <c r="G19" s="803"/>
      <c r="H19" s="804"/>
    </row>
    <row r="20" spans="2:8" s="52" customFormat="1" ht="9.9499999999999993" customHeight="1">
      <c r="B20" s="656"/>
      <c r="C20" s="656"/>
      <c r="D20" s="354"/>
      <c r="E20" s="354"/>
      <c r="F20" s="354"/>
      <c r="G20" s="803"/>
      <c r="H20" s="794"/>
    </row>
    <row r="21" spans="2:8" s="52" customFormat="1" ht="12">
      <c r="B21" s="802" t="str">
        <f>"Net Change in Fund Balance - Fiscal Year "&amp;Budget_Fiscal_Year</f>
        <v>Net Change in Fund Balance - Fiscal Year 2017</v>
      </c>
      <c r="C21" s="656"/>
      <c r="D21" s="354">
        <f>'203'!AP122</f>
        <v>-3627.9447048255242</v>
      </c>
      <c r="E21" s="354"/>
      <c r="F21" s="354">
        <f>'204'!AP128</f>
        <v>5762.1936337216757</v>
      </c>
      <c r="G21" s="803"/>
      <c r="H21" s="804"/>
    </row>
    <row r="22" spans="2:8" s="52" customFormat="1" ht="9.9499999999999993" customHeight="1">
      <c r="B22" s="656"/>
      <c r="C22" s="656"/>
      <c r="D22" s="354"/>
      <c r="E22" s="354"/>
      <c r="F22" s="354"/>
      <c r="G22" s="803"/>
      <c r="H22" s="794"/>
    </row>
    <row r="23" spans="2:8" s="52" customFormat="1" ht="12">
      <c r="B23" s="656" t="str">
        <f>"Reserves - Fiscal Year "&amp;Budget_Fiscal_Year&amp;" Additions"</f>
        <v>Reserves - Fiscal Year 2017 Additions</v>
      </c>
      <c r="C23" s="656"/>
      <c r="D23" s="354">
        <v>0</v>
      </c>
      <c r="E23" s="354"/>
      <c r="F23" s="354">
        <v>0</v>
      </c>
      <c r="G23" s="803"/>
      <c r="H23" s="804"/>
    </row>
    <row r="24" spans="2:8" s="52" customFormat="1" ht="9.9499999999999993" customHeight="1">
      <c r="B24" s="656"/>
      <c r="C24" s="656"/>
      <c r="D24" s="354"/>
      <c r="E24" s="354"/>
      <c r="F24" s="354"/>
      <c r="G24" s="803"/>
      <c r="H24" s="794"/>
    </row>
    <row r="25" spans="2:8" s="52" customFormat="1" ht="12">
      <c r="B25" s="671" t="str">
        <f>'Exhibit A'!B23</f>
        <v>Total Funds Available (Estimated) - 9/30/2017</v>
      </c>
      <c r="C25" s="672"/>
      <c r="D25" s="805">
        <f ca="1">SUM(D19:D23)</f>
        <v>1106552.0552951745</v>
      </c>
      <c r="E25" s="660"/>
      <c r="F25" s="805">
        <f ca="1">SUM(F19:F23)</f>
        <v>387102.06863372168</v>
      </c>
      <c r="G25" s="803"/>
      <c r="H25" s="806"/>
    </row>
    <row r="26" spans="2:8" s="52" customFormat="1" ht="12">
      <c r="B26" s="656"/>
      <c r="C26" s="656"/>
      <c r="D26" s="354"/>
      <c r="E26" s="354"/>
      <c r="F26" s="354"/>
      <c r="G26" s="803"/>
      <c r="H26" s="794"/>
    </row>
    <row r="27" spans="2:8" s="52" customFormat="1" ht="12" hidden="1">
      <c r="B27" s="656"/>
      <c r="C27" s="656"/>
      <c r="D27" s="354"/>
      <c r="E27" s="354"/>
      <c r="F27" s="354"/>
      <c r="G27" s="803"/>
      <c r="H27" s="794"/>
    </row>
    <row r="28" spans="2:8" s="52" customFormat="1" ht="12" hidden="1">
      <c r="B28" s="656"/>
      <c r="C28" s="656"/>
      <c r="D28" s="354"/>
      <c r="E28" s="354"/>
      <c r="F28" s="354"/>
      <c r="G28" s="803"/>
      <c r="H28" s="794"/>
    </row>
    <row r="29" spans="2:8">
      <c r="B29" s="807" t="str">
        <f>'Exhibit A'!B26</f>
        <v>ALLOCATION OF AVAILABLE FUNDS</v>
      </c>
      <c r="C29" s="808"/>
      <c r="D29" s="629"/>
      <c r="E29" s="629"/>
      <c r="F29" s="629"/>
      <c r="G29" s="809"/>
      <c r="H29" s="801"/>
    </row>
    <row r="30" spans="2:8" s="52" customFormat="1" ht="9.9499999999999993" customHeight="1">
      <c r="B30" s="810"/>
      <c r="C30" s="811"/>
      <c r="D30" s="812"/>
      <c r="E30" s="812"/>
      <c r="F30" s="812"/>
      <c r="G30" s="803"/>
      <c r="H30" s="794"/>
    </row>
    <row r="31" spans="2:8" s="52" customFormat="1" ht="12">
      <c r="B31" s="813" t="s">
        <v>506</v>
      </c>
      <c r="C31" s="811"/>
      <c r="D31" s="812"/>
      <c r="E31" s="812"/>
      <c r="F31" s="812"/>
      <c r="G31" s="803"/>
      <c r="H31" s="794"/>
    </row>
    <row r="32" spans="2:8" s="52" customFormat="1" ht="12">
      <c r="B32" s="814" t="s">
        <v>564</v>
      </c>
      <c r="C32" s="663"/>
      <c r="D32" s="354">
        <f>'Amort 2014'!H21</f>
        <v>1202625</v>
      </c>
      <c r="E32" s="354"/>
      <c r="F32" s="354">
        <f>'Amort 2015'!G16</f>
        <v>316553.125</v>
      </c>
      <c r="G32" s="803"/>
      <c r="H32" s="804"/>
    </row>
    <row r="33" spans="2:22" s="52" customFormat="1" ht="12">
      <c r="B33" s="814" t="s">
        <v>565</v>
      </c>
      <c r="C33" s="663"/>
      <c r="D33" s="354">
        <v>607312.5</v>
      </c>
      <c r="E33" s="354"/>
      <c r="F33" s="354">
        <v>340000</v>
      </c>
      <c r="G33" s="803"/>
      <c r="H33" s="804"/>
    </row>
    <row r="34" spans="2:22" s="52" customFormat="1" ht="9.9499999999999993" customHeight="1">
      <c r="B34" s="814"/>
      <c r="C34" s="663"/>
      <c r="D34" s="354"/>
      <c r="E34" s="354"/>
      <c r="F34" s="354"/>
      <c r="G34" s="803"/>
      <c r="H34" s="794"/>
    </row>
    <row r="35" spans="2:22" s="52" customFormat="1" ht="12">
      <c r="B35" s="813" t="s">
        <v>511</v>
      </c>
      <c r="C35" s="663"/>
      <c r="D35" s="354"/>
      <c r="E35" s="354"/>
      <c r="F35" s="354"/>
      <c r="G35" s="803"/>
      <c r="H35" s="794"/>
    </row>
    <row r="36" spans="2:22" s="52" customFormat="1" ht="12">
      <c r="B36" s="814" t="s">
        <v>566</v>
      </c>
      <c r="C36" s="663"/>
      <c r="D36" s="354">
        <v>0</v>
      </c>
      <c r="E36" s="354"/>
      <c r="F36" s="354">
        <v>0</v>
      </c>
      <c r="G36" s="803"/>
      <c r="H36" s="804"/>
    </row>
    <row r="37" spans="2:22" s="52" customFormat="1" ht="9.9499999999999993" customHeight="1">
      <c r="B37" s="670"/>
      <c r="C37" s="663"/>
      <c r="D37" s="354"/>
      <c r="E37" s="354"/>
      <c r="F37" s="354"/>
      <c r="G37" s="803"/>
      <c r="H37" s="794"/>
    </row>
    <row r="38" spans="2:22" s="52" customFormat="1" ht="12">
      <c r="B38" s="671" t="str">
        <f>'Exhibit A'!B51</f>
        <v>Total Allocation of Available Funds</v>
      </c>
      <c r="C38" s="672"/>
      <c r="D38" s="805">
        <f>SUM(D31:D37)</f>
        <v>1809937.5</v>
      </c>
      <c r="E38" s="805"/>
      <c r="F38" s="805">
        <f>SUM(F31:F37)</f>
        <v>656553.125</v>
      </c>
      <c r="G38" s="803"/>
      <c r="H38" s="806"/>
    </row>
    <row r="39" spans="2:22" s="52" customFormat="1" ht="12">
      <c r="B39" s="815"/>
      <c r="C39" s="656"/>
      <c r="D39" s="354"/>
      <c r="E39" s="354"/>
      <c r="F39" s="354"/>
      <c r="G39" s="803"/>
      <c r="H39" s="794"/>
    </row>
    <row r="40" spans="2:22" s="52" customFormat="1" ht="12" hidden="1">
      <c r="B40" s="656"/>
      <c r="C40" s="656"/>
      <c r="D40" s="354"/>
      <c r="E40" s="354"/>
      <c r="F40" s="354"/>
      <c r="G40" s="803"/>
      <c r="H40" s="794"/>
    </row>
    <row r="41" spans="2:22" s="52" customFormat="1" ht="12" customHeight="1">
      <c r="B41" s="675" t="s">
        <v>518</v>
      </c>
      <c r="C41" s="816"/>
      <c r="D41" s="676">
        <f ca="1">D25-D38</f>
        <v>-703385.44470482552</v>
      </c>
      <c r="E41" s="652"/>
      <c r="F41" s="676">
        <f ca="1">F25-F38</f>
        <v>-269451.05636627832</v>
      </c>
      <c r="G41" s="817"/>
      <c r="H41" s="818"/>
      <c r="I41" s="679"/>
      <c r="J41" s="679"/>
      <c r="K41" s="679"/>
      <c r="L41" s="679"/>
      <c r="M41" s="679"/>
      <c r="N41" s="679"/>
      <c r="O41" s="679"/>
      <c r="P41" s="679"/>
      <c r="Q41" s="679"/>
      <c r="R41" s="679"/>
      <c r="S41" s="679"/>
      <c r="T41" s="679"/>
      <c r="U41" s="679"/>
      <c r="V41" s="679"/>
    </row>
    <row r="42" spans="2:22" s="52" customFormat="1" ht="12">
      <c r="B42" s="663"/>
      <c r="C42" s="663"/>
      <c r="D42" s="354"/>
      <c r="E42" s="354"/>
      <c r="F42" s="354"/>
      <c r="G42" s="803"/>
      <c r="H42" s="794"/>
    </row>
    <row r="43" spans="2:22" s="52" customFormat="1" ht="12" hidden="1">
      <c r="B43" s="680"/>
      <c r="C43" s="680"/>
      <c r="D43" s="354"/>
      <c r="E43" s="354"/>
      <c r="F43" s="354"/>
      <c r="G43" s="803"/>
      <c r="H43" s="794"/>
    </row>
    <row r="44" spans="2:22" s="52" customFormat="1" ht="12">
      <c r="B44" s="681" t="s">
        <v>519</v>
      </c>
      <c r="C44" s="53"/>
      <c r="D44" s="354"/>
      <c r="E44" s="354"/>
      <c r="F44" s="354"/>
      <c r="G44" s="53"/>
      <c r="H44" s="794"/>
    </row>
    <row r="45" spans="2:22" s="52" customFormat="1" ht="5.0999999999999996" customHeight="1">
      <c r="B45" s="53"/>
      <c r="C45" s="53"/>
      <c r="D45" s="354"/>
      <c r="E45" s="354"/>
      <c r="F45" s="354"/>
      <c r="G45" s="53"/>
      <c r="H45" s="794"/>
    </row>
    <row r="46" spans="2:22" s="52" customFormat="1" ht="12">
      <c r="B46" s="53"/>
      <c r="C46" s="53"/>
      <c r="D46" s="354"/>
      <c r="E46" s="354"/>
      <c r="F46" s="354"/>
      <c r="G46" s="53"/>
      <c r="H46" s="794"/>
    </row>
    <row r="47" spans="2:22" s="52" customFormat="1" ht="12">
      <c r="B47" s="53"/>
      <c r="C47" s="53"/>
      <c r="D47" s="354"/>
      <c r="E47" s="354"/>
      <c r="F47" s="354"/>
      <c r="G47" s="53"/>
      <c r="H47" s="794"/>
    </row>
  </sheetData>
  <sheetProtection selectLockedCells="1" selectUnlockedCells="1"/>
  <mergeCells count="6">
    <mergeCell ref="B3:I3"/>
    <mergeCell ref="B5:F5"/>
    <mergeCell ref="B6:F6"/>
    <mergeCell ref="B7:F7"/>
    <mergeCell ref="B9:F9"/>
    <mergeCell ref="B10:F10"/>
  </mergeCells>
  <printOptions horizontalCentered="1"/>
  <pageMargins left="0.75" right="0.75" top="1.588888888888889" bottom="1.1777777777777776" header="0.4" footer="0.35"/>
  <pageSetup scale="85" firstPageNumber="0" orientation="landscape" horizontalDpi="300" verticalDpi="300"/>
  <headerFooter alignWithMargins="0">
    <oddHeader>&amp;L&amp;"Arial black,Bold"&amp;14HARMONY
Community Development District</oddHeader>
    <oddFooter>&amp;L&amp;9     Fiscal Year 2017
&amp;10     Annual Operating and Debt Service Budget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C1:AY123"/>
  <sheetViews>
    <sheetView topLeftCell="B3" zoomScale="80" zoomScaleNormal="80" zoomScaleSheetLayoutView="80" workbookViewId="0">
      <pane xSplit="1" ySplit="7" topLeftCell="C10" activePane="bottomRight" state="frozen"/>
      <selection activeCell="B3" sqref="B3"/>
      <selection pane="topRight" activeCell="C3" sqref="C3"/>
      <selection pane="bottomLeft" activeCell="B10" sqref="B10"/>
      <selection pane="bottomRight"/>
    </sheetView>
  </sheetViews>
  <sheetFormatPr defaultRowHeight="12.75"/>
  <cols>
    <col min="1" max="1" width="9.140625" style="67"/>
    <col min="2" max="2" width="1.28515625" style="67" customWidth="1"/>
    <col min="3" max="3" width="9.140625" style="67"/>
    <col min="4" max="4" width="7.7109375" style="67" customWidth="1"/>
    <col min="5" max="5" width="0" style="68" hidden="1" customWidth="1"/>
    <col min="6" max="6" width="7.7109375" style="69" customWidth="1"/>
    <col min="7" max="8" width="13.7109375" style="67" customWidth="1"/>
    <col min="9" max="9" width="12.28515625" style="67" customWidth="1"/>
    <col min="10" max="11" width="13.7109375" style="67" customWidth="1"/>
    <col min="12" max="12" width="12.28515625" style="67" customWidth="1"/>
    <col min="13" max="14" width="13.7109375" style="67" customWidth="1"/>
    <col min="15" max="15" width="12.28515625" style="67" customWidth="1"/>
    <col min="16" max="17" width="13.7109375" style="67" customWidth="1"/>
    <col min="18" max="18" width="12.28515625" style="70" customWidth="1"/>
    <col min="19" max="19" width="11.42578125" style="67" customWidth="1"/>
    <col min="20" max="20" width="8.28515625" style="67" customWidth="1"/>
    <col min="21" max="21" width="0" style="67" hidden="1" customWidth="1"/>
    <col min="22" max="22" width="0" style="71" hidden="1" customWidth="1"/>
    <col min="23" max="24" width="0" style="67" hidden="1" customWidth="1"/>
    <col min="25" max="27" width="0" style="71" hidden="1" customWidth="1"/>
    <col min="28" max="29" width="0" style="67" hidden="1" customWidth="1"/>
    <col min="30" max="30" width="0" style="68" hidden="1" customWidth="1"/>
    <col min="31" max="32" width="0" style="67" hidden="1" customWidth="1"/>
    <col min="33" max="33" width="0" style="72" hidden="1" customWidth="1"/>
    <col min="34" max="44" width="0" style="67" hidden="1" customWidth="1"/>
    <col min="45" max="45" width="1.28515625" style="67" customWidth="1"/>
    <col min="46" max="16384" width="9.140625" style="67"/>
  </cols>
  <sheetData>
    <row r="1" spans="3:51" ht="15.75">
      <c r="C1" s="1413" t="s">
        <v>135</v>
      </c>
      <c r="D1" s="1413"/>
      <c r="E1" s="1413"/>
      <c r="F1" s="1413"/>
      <c r="G1" s="1413"/>
      <c r="H1" s="1413"/>
      <c r="I1" s="1413"/>
      <c r="J1" s="1413"/>
      <c r="K1" s="1413"/>
      <c r="L1" s="1413"/>
      <c r="M1" s="1413"/>
      <c r="N1" s="1413"/>
      <c r="O1" s="1413"/>
      <c r="P1" s="1413"/>
      <c r="Q1" s="1413"/>
      <c r="R1" s="1413"/>
      <c r="S1" s="1413"/>
      <c r="T1" s="1413"/>
    </row>
    <row r="2" spans="3:51" ht="15.75">
      <c r="C2" s="1413" t="s">
        <v>136</v>
      </c>
      <c r="D2" s="1413"/>
      <c r="E2" s="1413"/>
      <c r="F2" s="1413"/>
      <c r="G2" s="1413"/>
      <c r="H2" s="1413"/>
      <c r="I2" s="1413"/>
      <c r="J2" s="1413"/>
      <c r="K2" s="1413"/>
      <c r="L2" s="1413"/>
      <c r="M2" s="1413"/>
      <c r="N2" s="1413"/>
      <c r="O2" s="1413"/>
      <c r="P2" s="1413"/>
      <c r="Q2" s="1413"/>
      <c r="R2" s="1413"/>
      <c r="S2" s="1413"/>
      <c r="T2" s="1413"/>
      <c r="AG2" s="74"/>
    </row>
    <row r="3" spans="3:51" ht="20.25">
      <c r="C3" s="1437" t="s">
        <v>567</v>
      </c>
      <c r="D3" s="1437"/>
      <c r="E3" s="1437"/>
      <c r="F3" s="1437"/>
      <c r="G3" s="1437"/>
      <c r="H3" s="1437"/>
      <c r="I3" s="1437"/>
      <c r="J3" s="1437"/>
      <c r="K3" s="1437"/>
      <c r="L3" s="1437"/>
      <c r="M3" s="1437"/>
      <c r="N3" s="1437"/>
      <c r="O3" s="1437"/>
      <c r="P3" s="1437"/>
      <c r="Q3" s="1437"/>
      <c r="R3" s="1437"/>
      <c r="S3" s="1437"/>
      <c r="T3" s="1437"/>
      <c r="AD3" s="67"/>
      <c r="AE3" s="75"/>
      <c r="AF3" s="73"/>
      <c r="AG3" s="76"/>
      <c r="AJ3" s="819" t="s">
        <v>568</v>
      </c>
    </row>
    <row r="4" spans="3:51" ht="20.25">
      <c r="C4" s="1437" t="s">
        <v>569</v>
      </c>
      <c r="D4" s="1437"/>
      <c r="E4" s="1437"/>
      <c r="F4" s="1437"/>
      <c r="G4" s="1437"/>
      <c r="H4" s="1437"/>
      <c r="I4" s="1437"/>
      <c r="J4" s="1437"/>
      <c r="K4" s="1437"/>
      <c r="L4" s="1437"/>
      <c r="M4" s="1437"/>
      <c r="N4" s="1437"/>
      <c r="O4" s="1437"/>
      <c r="P4" s="1437"/>
      <c r="Q4" s="1437"/>
      <c r="R4" s="1437"/>
      <c r="S4" s="1437"/>
      <c r="T4" s="1437"/>
      <c r="W4" s="77"/>
      <c r="X4" s="77"/>
      <c r="AB4" s="77"/>
      <c r="AC4" s="77"/>
      <c r="AD4" s="77"/>
      <c r="AE4" s="78"/>
      <c r="AF4" s="68"/>
      <c r="AG4" s="76"/>
      <c r="AH4" s="79"/>
      <c r="AJ4" s="820" t="s">
        <v>140</v>
      </c>
    </row>
    <row r="5" spans="3:51" ht="18" customHeight="1">
      <c r="C5" s="1438" t="s">
        <v>570</v>
      </c>
      <c r="D5" s="1438"/>
      <c r="E5" s="1438"/>
      <c r="F5" s="1438"/>
      <c r="G5" s="1438"/>
      <c r="H5" s="1438"/>
      <c r="I5" s="1438"/>
      <c r="J5" s="1438"/>
      <c r="K5" s="1438"/>
      <c r="L5" s="1438"/>
      <c r="M5" s="1438"/>
      <c r="N5" s="1438"/>
      <c r="O5" s="1438"/>
      <c r="P5" s="1438"/>
      <c r="Q5" s="1438"/>
      <c r="R5" s="1438"/>
      <c r="S5" s="1438"/>
      <c r="T5" s="1438"/>
      <c r="U5" s="82"/>
      <c r="V5" s="83"/>
      <c r="W5" s="84"/>
      <c r="X5" s="84"/>
      <c r="Y5" s="83"/>
      <c r="Z5" s="83"/>
      <c r="AA5" s="83"/>
      <c r="AB5" s="84"/>
      <c r="AC5" s="84"/>
      <c r="AD5" s="82"/>
      <c r="AH5" s="84"/>
      <c r="AI5" s="84"/>
      <c r="AJ5" s="821" t="s">
        <v>141</v>
      </c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</row>
    <row r="6" spans="3:51" s="84" customFormat="1" ht="18" customHeight="1">
      <c r="C6" s="1439" t="s">
        <v>571</v>
      </c>
      <c r="D6" s="1439"/>
      <c r="E6" s="1439"/>
      <c r="F6" s="1439"/>
      <c r="G6" s="1440" t="s">
        <v>145</v>
      </c>
      <c r="H6" s="1440"/>
      <c r="I6" s="1440"/>
      <c r="J6" s="1441" t="s">
        <v>146</v>
      </c>
      <c r="K6" s="1441"/>
      <c r="L6" s="1441"/>
      <c r="M6" s="1442" t="s">
        <v>147</v>
      </c>
      <c r="N6" s="1442"/>
      <c r="O6" s="1442"/>
      <c r="P6" s="1443" t="s">
        <v>572</v>
      </c>
      <c r="Q6" s="1443"/>
      <c r="R6" s="1443"/>
      <c r="S6" s="822"/>
      <c r="T6" s="823"/>
      <c r="U6" s="94"/>
      <c r="V6" s="95"/>
      <c r="W6" s="114" t="s">
        <v>149</v>
      </c>
      <c r="X6" s="96"/>
      <c r="Y6" s="97"/>
      <c r="Z6" s="98"/>
      <c r="AA6" s="99" t="s">
        <v>150</v>
      </c>
      <c r="AB6" s="100"/>
      <c r="AC6" s="114" t="s">
        <v>573</v>
      </c>
      <c r="AD6" s="100"/>
      <c r="AE6" s="824" t="s">
        <v>142</v>
      </c>
      <c r="AF6" s="86">
        <f ca="1">'001'!AP247-'001'!AP38-'001'!AP52-'001'!AP97-'001'!AP54-'001'!AP53</f>
        <v>1850042</v>
      </c>
      <c r="AG6" s="825" t="s">
        <v>574</v>
      </c>
      <c r="AH6" s="100"/>
      <c r="AI6" s="100"/>
      <c r="AJ6" s="826" t="s">
        <v>143</v>
      </c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</row>
    <row r="7" spans="3:51" s="100" customFormat="1" ht="18" customHeight="1">
      <c r="C7" s="827"/>
      <c r="D7" s="828"/>
      <c r="E7" s="829"/>
      <c r="F7" s="830"/>
      <c r="G7" s="831" t="s">
        <v>153</v>
      </c>
      <c r="H7" s="832" t="s">
        <v>154</v>
      </c>
      <c r="I7" s="833" t="s">
        <v>155</v>
      </c>
      <c r="J7" s="831" t="str">
        <f>P7</f>
        <v>FY 2017</v>
      </c>
      <c r="K7" s="832" t="str">
        <f>Q7</f>
        <v>FY 2016</v>
      </c>
      <c r="L7" s="834" t="s">
        <v>155</v>
      </c>
      <c r="M7" s="831" t="str">
        <f>J7</f>
        <v>FY 2017</v>
      </c>
      <c r="N7" s="832" t="str">
        <f>K7</f>
        <v>FY 2016</v>
      </c>
      <c r="O7" s="833" t="s">
        <v>155</v>
      </c>
      <c r="P7" s="831" t="str">
        <f>G7</f>
        <v>FY 2017</v>
      </c>
      <c r="Q7" s="832" t="str">
        <f>H7</f>
        <v>FY 2016</v>
      </c>
      <c r="R7" s="833" t="s">
        <v>155</v>
      </c>
      <c r="S7" s="835" t="s">
        <v>299</v>
      </c>
      <c r="T7" s="836" t="s">
        <v>299</v>
      </c>
      <c r="U7" s="94"/>
      <c r="V7" s="95"/>
      <c r="W7" s="114" t="s">
        <v>156</v>
      </c>
      <c r="X7" s="96"/>
      <c r="Y7" s="99" t="s">
        <v>157</v>
      </c>
      <c r="Z7" s="98"/>
      <c r="AA7" s="99" t="s">
        <v>158</v>
      </c>
      <c r="AB7" s="114" t="s">
        <v>159</v>
      </c>
      <c r="AC7" s="837" t="s">
        <v>170</v>
      </c>
      <c r="AG7" s="115"/>
      <c r="AJ7" s="826" t="s">
        <v>152</v>
      </c>
    </row>
    <row r="8" spans="3:51" s="100" customFormat="1" ht="51.2" customHeight="1">
      <c r="C8" s="838" t="s">
        <v>161</v>
      </c>
      <c r="D8" s="839"/>
      <c r="E8" s="840" t="s">
        <v>162</v>
      </c>
      <c r="F8" s="840" t="s">
        <v>163</v>
      </c>
      <c r="G8" s="841" t="s">
        <v>164</v>
      </c>
      <c r="H8" s="842" t="s">
        <v>164</v>
      </c>
      <c r="I8" s="843" t="s">
        <v>165</v>
      </c>
      <c r="J8" s="844" t="s">
        <v>575</v>
      </c>
      <c r="K8" s="845" t="s">
        <v>575</v>
      </c>
      <c r="L8" s="843" t="s">
        <v>165</v>
      </c>
      <c r="M8" s="844" t="s">
        <v>575</v>
      </c>
      <c r="N8" s="845" t="s">
        <v>575</v>
      </c>
      <c r="O8" s="843" t="s">
        <v>165</v>
      </c>
      <c r="P8" s="841" t="s">
        <v>148</v>
      </c>
      <c r="Q8" s="842" t="s">
        <v>148</v>
      </c>
      <c r="R8" s="843" t="s">
        <v>165</v>
      </c>
      <c r="S8" s="846" t="s">
        <v>168</v>
      </c>
      <c r="T8" s="847" t="s">
        <v>158</v>
      </c>
      <c r="U8" s="125" t="s">
        <v>158</v>
      </c>
      <c r="V8" s="126" t="s">
        <v>169</v>
      </c>
      <c r="W8" s="848" t="s">
        <v>170</v>
      </c>
      <c r="X8" s="125"/>
      <c r="Y8" s="849" t="s">
        <v>171</v>
      </c>
      <c r="Z8" s="126" t="s">
        <v>172</v>
      </c>
      <c r="AA8" s="849" t="s">
        <v>173</v>
      </c>
      <c r="AB8" s="848" t="s">
        <v>170</v>
      </c>
      <c r="AC8" s="850" t="s">
        <v>576</v>
      </c>
      <c r="AD8" s="125"/>
      <c r="AE8" s="125" t="s">
        <v>175</v>
      </c>
      <c r="AF8" s="125" t="s">
        <v>176</v>
      </c>
      <c r="AG8" s="127" t="s">
        <v>177</v>
      </c>
      <c r="AH8" s="128" t="s">
        <v>178</v>
      </c>
      <c r="AI8" s="129"/>
      <c r="AJ8" s="851" t="s">
        <v>577</v>
      </c>
      <c r="AK8" s="851" t="s">
        <v>578</v>
      </c>
      <c r="AL8" s="852" t="s">
        <v>183</v>
      </c>
      <c r="AM8" s="852" t="s">
        <v>184</v>
      </c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</row>
    <row r="9" spans="3:51" s="129" customFormat="1" ht="24.6" hidden="1" customHeight="1">
      <c r="C9" s="853"/>
      <c r="D9" s="854"/>
      <c r="E9" s="855" t="s">
        <v>162</v>
      </c>
      <c r="F9" s="855"/>
      <c r="G9" s="856"/>
      <c r="H9" s="857"/>
      <c r="I9" s="858"/>
      <c r="J9" s="856"/>
      <c r="K9" s="857"/>
      <c r="L9" s="858"/>
      <c r="M9" s="856"/>
      <c r="N9" s="857"/>
      <c r="O9" s="858"/>
      <c r="P9" s="856"/>
      <c r="Q9" s="857"/>
      <c r="R9" s="858"/>
      <c r="S9" s="859" t="s">
        <v>168</v>
      </c>
      <c r="T9" s="860" t="s">
        <v>158</v>
      </c>
      <c r="AJ9" s="861"/>
      <c r="AK9" s="861"/>
      <c r="AL9" s="861"/>
      <c r="AM9" s="861"/>
    </row>
    <row r="10" spans="3:51" s="100" customFormat="1" ht="15" customHeight="1">
      <c r="C10" s="862" t="s">
        <v>144</v>
      </c>
      <c r="D10" s="863"/>
      <c r="E10" s="864"/>
      <c r="F10" s="830"/>
      <c r="G10" s="865"/>
      <c r="H10" s="866"/>
      <c r="I10" s="867"/>
      <c r="J10" s="865"/>
      <c r="K10" s="866"/>
      <c r="L10" s="868"/>
      <c r="M10" s="865"/>
      <c r="N10" s="866"/>
      <c r="O10" s="867"/>
      <c r="P10" s="865"/>
      <c r="Q10" s="866"/>
      <c r="R10" s="867"/>
      <c r="S10" s="869"/>
      <c r="T10" s="870"/>
      <c r="U10" s="146"/>
      <c r="V10" s="98"/>
      <c r="Y10" s="98"/>
      <c r="Z10" s="98"/>
      <c r="AA10" s="98"/>
      <c r="AG10" s="147"/>
      <c r="AH10" s="148"/>
      <c r="AJ10" s="115"/>
      <c r="AK10" s="114"/>
      <c r="AL10" s="114"/>
      <c r="AM10" s="114"/>
    </row>
    <row r="11" spans="3:51" s="100" customFormat="1" ht="15" customHeight="1">
      <c r="C11" s="871" t="s">
        <v>185</v>
      </c>
      <c r="D11" s="872" t="s">
        <v>185</v>
      </c>
      <c r="E11" s="873" t="s">
        <v>186</v>
      </c>
      <c r="F11" s="874" t="s">
        <v>187</v>
      </c>
      <c r="G11" s="875">
        <f t="shared" ref="G11:G34" ca="1" si="0">ROUND(AE11/S11,2)</f>
        <v>486.65</v>
      </c>
      <c r="H11" s="876">
        <v>486.65</v>
      </c>
      <c r="I11" s="877">
        <f t="shared" ref="I11:I38" ca="1" si="1">(+G11-H11)/H11</f>
        <v>0</v>
      </c>
      <c r="J11" s="875">
        <v>605.71463673480946</v>
      </c>
      <c r="K11" s="876">
        <v>605.71463673480946</v>
      </c>
      <c r="L11" s="877">
        <f t="shared" ref="L11:L38" si="2">(+J11-K11)/K11</f>
        <v>0</v>
      </c>
      <c r="M11" s="875">
        <v>0</v>
      </c>
      <c r="N11" s="876">
        <v>0</v>
      </c>
      <c r="O11" s="877">
        <v>0</v>
      </c>
      <c r="P11" s="875">
        <f t="shared" ref="P11:P39" ca="1" si="3">J11+G11</f>
        <v>1092.3646367348094</v>
      </c>
      <c r="Q11" s="876">
        <f t="shared" ref="Q11:Q39" si="4">K11+H11</f>
        <v>1092.3646367348094</v>
      </c>
      <c r="R11" s="877">
        <f t="shared" ref="R11:R38" ca="1" si="5">(+P11-Q11)/Q11</f>
        <v>0</v>
      </c>
      <c r="S11" s="878">
        <v>186</v>
      </c>
      <c r="T11" s="879"/>
      <c r="U11" s="146">
        <v>19.77</v>
      </c>
      <c r="V11" s="98"/>
      <c r="W11" s="158">
        <f>U11/U56</f>
        <v>4.5990935376542738E-2</v>
      </c>
      <c r="X11" s="158"/>
      <c r="Y11" s="159">
        <f>U11/S11</f>
        <v>0.10629032258064516</v>
      </c>
      <c r="Z11" s="160">
        <v>2</v>
      </c>
      <c r="AA11" s="159">
        <f t="shared" ref="AA11:AA35" si="6">Y11*Z11</f>
        <v>0.21258064516129033</v>
      </c>
      <c r="AB11" s="161">
        <f t="shared" ref="AB11:AB38" si="7">Y11*S11-AA11</f>
        <v>19.557419354838711</v>
      </c>
      <c r="AC11" s="161"/>
      <c r="AD11" s="158"/>
      <c r="AE11" s="162">
        <f t="shared" ref="AE11:AE39" ca="1" si="8">AF$6*W11/0.94</f>
        <v>90516.129857329666</v>
      </c>
      <c r="AF11" s="163">
        <f t="shared" ref="AF11:AF39" si="9">J11*(S11-Z11)</f>
        <v>111451.49315920494</v>
      </c>
      <c r="AG11" s="147"/>
      <c r="AH11" s="162">
        <f t="shared" ref="AH11:AH39" si="10">SUM(AF11:AG11)</f>
        <v>111451.49315920494</v>
      </c>
      <c r="AI11" s="164"/>
      <c r="AJ11" s="165">
        <v>111451.49315920494</v>
      </c>
      <c r="AK11" s="150">
        <v>184</v>
      </c>
      <c r="AL11" s="880">
        <f t="shared" ref="AL11:AL38" si="11">AK11-(S11-Z11)</f>
        <v>0</v>
      </c>
      <c r="AM11" s="881">
        <f t="shared" ref="AM11:AM38" si="12">AL11*J11</f>
        <v>0</v>
      </c>
    </row>
    <row r="12" spans="3:51" s="100" customFormat="1" ht="15" customHeight="1">
      <c r="C12" s="871" t="s">
        <v>188</v>
      </c>
      <c r="D12" s="872" t="s">
        <v>189</v>
      </c>
      <c r="E12" s="873" t="s">
        <v>188</v>
      </c>
      <c r="F12" s="874">
        <v>80</v>
      </c>
      <c r="G12" s="875">
        <f t="shared" ca="1" si="0"/>
        <v>1538.44</v>
      </c>
      <c r="H12" s="876">
        <v>1538.44</v>
      </c>
      <c r="I12" s="877">
        <f t="shared" ca="1" si="1"/>
        <v>0</v>
      </c>
      <c r="J12" s="875">
        <v>1914.8681554901182</v>
      </c>
      <c r="K12" s="876">
        <v>1914.8681554901182</v>
      </c>
      <c r="L12" s="877">
        <f t="shared" si="2"/>
        <v>0</v>
      </c>
      <c r="M12" s="875">
        <v>0</v>
      </c>
      <c r="N12" s="876">
        <v>0</v>
      </c>
      <c r="O12" s="877">
        <v>0</v>
      </c>
      <c r="P12" s="875">
        <f t="shared" ca="1" si="3"/>
        <v>3453.3081554901182</v>
      </c>
      <c r="Q12" s="876">
        <f t="shared" si="4"/>
        <v>3453.3081554901182</v>
      </c>
      <c r="R12" s="877">
        <f t="shared" ca="1" si="5"/>
        <v>0</v>
      </c>
      <c r="S12" s="878">
        <v>9</v>
      </c>
      <c r="T12" s="879"/>
      <c r="U12" s="146">
        <v>23.58</v>
      </c>
      <c r="V12" s="98">
        <f t="shared" ref="V12:V29" si="13">+F12*S12</f>
        <v>720</v>
      </c>
      <c r="W12" s="158">
        <f t="shared" ref="W12:W16" si="14">(V12/SUM(V$12:V$16))*U$12/U$56</f>
        <v>7.0350868299371514E-3</v>
      </c>
      <c r="X12" s="158"/>
      <c r="Y12" s="159">
        <f t="shared" ref="Y12:Y16" si="15">U$12*(V12/SUM(V$12:V$16))/S12</f>
        <v>0.33601710010687563</v>
      </c>
      <c r="Z12" s="160">
        <v>1</v>
      </c>
      <c r="AA12" s="159">
        <f t="shared" si="6"/>
        <v>0.33601710010687563</v>
      </c>
      <c r="AB12" s="161">
        <f t="shared" si="7"/>
        <v>2.6881368008550051</v>
      </c>
      <c r="AC12" s="161"/>
      <c r="AD12" s="158"/>
      <c r="AE12" s="162">
        <f t="shared" ca="1" si="8"/>
        <v>13845.963945777221</v>
      </c>
      <c r="AF12" s="163">
        <f t="shared" si="9"/>
        <v>15318.945243920945</v>
      </c>
      <c r="AG12" s="147"/>
      <c r="AH12" s="162">
        <f t="shared" si="10"/>
        <v>15318.945243920945</v>
      </c>
      <c r="AJ12" s="165">
        <v>15318.945243920945</v>
      </c>
      <c r="AK12" s="150">
        <v>8</v>
      </c>
      <c r="AL12" s="880">
        <f t="shared" si="11"/>
        <v>0</v>
      </c>
      <c r="AM12" s="881">
        <f t="shared" si="12"/>
        <v>0</v>
      </c>
    </row>
    <row r="13" spans="3:51" s="100" customFormat="1" ht="15" customHeight="1">
      <c r="C13" s="882"/>
      <c r="D13" s="883" t="s">
        <v>189</v>
      </c>
      <c r="E13" s="855" t="s">
        <v>190</v>
      </c>
      <c r="F13" s="854">
        <v>65</v>
      </c>
      <c r="G13" s="884">
        <f t="shared" ca="1" si="0"/>
        <v>1249.98</v>
      </c>
      <c r="H13" s="885">
        <v>1249.99</v>
      </c>
      <c r="I13" s="886">
        <f t="shared" ca="1" si="1"/>
        <v>-8.000064000504728E-6</v>
      </c>
      <c r="J13" s="884">
        <v>1555.8314743609492</v>
      </c>
      <c r="K13" s="885">
        <v>1555.8314743609492</v>
      </c>
      <c r="L13" s="886">
        <f t="shared" si="2"/>
        <v>0</v>
      </c>
      <c r="M13" s="884">
        <v>0</v>
      </c>
      <c r="N13" s="885">
        <v>0</v>
      </c>
      <c r="O13" s="886">
        <v>0</v>
      </c>
      <c r="P13" s="884">
        <f t="shared" ca="1" si="3"/>
        <v>2805.8114743609494</v>
      </c>
      <c r="Q13" s="885">
        <f t="shared" si="4"/>
        <v>2805.8214743609492</v>
      </c>
      <c r="R13" s="886">
        <f t="shared" ca="1" si="5"/>
        <v>-3.564018627393648E-6</v>
      </c>
      <c r="S13" s="887">
        <v>25</v>
      </c>
      <c r="T13" s="888"/>
      <c r="U13" s="146"/>
      <c r="V13" s="98">
        <f t="shared" si="13"/>
        <v>1625</v>
      </c>
      <c r="W13" s="158">
        <f t="shared" si="14"/>
        <v>1.5877800137010931E-2</v>
      </c>
      <c r="X13" s="158"/>
      <c r="Y13" s="159">
        <f t="shared" si="15"/>
        <v>0.27301389383683644</v>
      </c>
      <c r="Z13" s="160">
        <v>3</v>
      </c>
      <c r="AA13" s="159">
        <f t="shared" si="6"/>
        <v>0.81904168151050927</v>
      </c>
      <c r="AB13" s="161">
        <f t="shared" si="7"/>
        <v>6.0063056644104016</v>
      </c>
      <c r="AC13" s="161"/>
      <c r="AD13" s="158"/>
      <c r="AE13" s="162">
        <f t="shared" ca="1" si="8"/>
        <v>31249.57140539998</v>
      </c>
      <c r="AF13" s="163">
        <f t="shared" si="9"/>
        <v>34228.292435940879</v>
      </c>
      <c r="AG13" s="147"/>
      <c r="AH13" s="162">
        <f t="shared" si="10"/>
        <v>34228.292435940879</v>
      </c>
      <c r="AJ13" s="165">
        <v>37339.955384662782</v>
      </c>
      <c r="AK13" s="150">
        <v>24</v>
      </c>
      <c r="AL13" s="880">
        <f t="shared" si="11"/>
        <v>2</v>
      </c>
      <c r="AM13" s="881">
        <f t="shared" si="12"/>
        <v>3111.6629487218984</v>
      </c>
    </row>
    <row r="14" spans="3:51" s="100" customFormat="1" ht="15" customHeight="1">
      <c r="C14" s="882"/>
      <c r="D14" s="883" t="s">
        <v>189</v>
      </c>
      <c r="E14" s="855" t="s">
        <v>191</v>
      </c>
      <c r="F14" s="854">
        <v>52</v>
      </c>
      <c r="G14" s="884">
        <f t="shared" ca="1" si="0"/>
        <v>999.99</v>
      </c>
      <c r="H14" s="885">
        <v>999.99</v>
      </c>
      <c r="I14" s="886">
        <f t="shared" ca="1" si="1"/>
        <v>0</v>
      </c>
      <c r="J14" s="884">
        <v>1244.6599089676652</v>
      </c>
      <c r="K14" s="885">
        <v>1244.6599089676652</v>
      </c>
      <c r="L14" s="886">
        <f t="shared" si="2"/>
        <v>0</v>
      </c>
      <c r="M14" s="884">
        <v>0</v>
      </c>
      <c r="N14" s="885">
        <v>0</v>
      </c>
      <c r="O14" s="886">
        <v>0</v>
      </c>
      <c r="P14" s="884">
        <f t="shared" ca="1" si="3"/>
        <v>2244.6499089676654</v>
      </c>
      <c r="Q14" s="885">
        <f t="shared" si="4"/>
        <v>2244.6499089676654</v>
      </c>
      <c r="R14" s="886">
        <f t="shared" ca="1" si="5"/>
        <v>0</v>
      </c>
      <c r="S14" s="887">
        <v>35</v>
      </c>
      <c r="T14" s="888"/>
      <c r="U14" s="146"/>
      <c r="V14" s="98">
        <f t="shared" si="13"/>
        <v>1820</v>
      </c>
      <c r="W14" s="158">
        <f t="shared" si="14"/>
        <v>1.7783136153452245E-2</v>
      </c>
      <c r="X14" s="158"/>
      <c r="Y14" s="159">
        <f t="shared" si="15"/>
        <v>0.21841111506946917</v>
      </c>
      <c r="Z14" s="160">
        <v>9</v>
      </c>
      <c r="AA14" s="159">
        <f t="shared" si="6"/>
        <v>1.9657000356252226</v>
      </c>
      <c r="AB14" s="161">
        <f t="shared" si="7"/>
        <v>5.6786889918061982</v>
      </c>
      <c r="AC14" s="161"/>
      <c r="AD14" s="158"/>
      <c r="AE14" s="162">
        <f t="shared" ca="1" si="8"/>
        <v>34999.51997404798</v>
      </c>
      <c r="AF14" s="163">
        <f t="shared" si="9"/>
        <v>32361.157633159295</v>
      </c>
      <c r="AG14" s="147"/>
      <c r="AH14" s="162">
        <f t="shared" si="10"/>
        <v>32361.157633159295</v>
      </c>
      <c r="AJ14" s="165">
        <v>33605.817542126963</v>
      </c>
      <c r="AK14" s="150">
        <v>27</v>
      </c>
      <c r="AL14" s="880">
        <f t="shared" si="11"/>
        <v>1</v>
      </c>
      <c r="AM14" s="881">
        <f t="shared" si="12"/>
        <v>1244.6599089676652</v>
      </c>
    </row>
    <row r="15" spans="3:51" s="100" customFormat="1" ht="15" customHeight="1">
      <c r="C15" s="882"/>
      <c r="D15" s="883" t="s">
        <v>189</v>
      </c>
      <c r="E15" s="855" t="s">
        <v>192</v>
      </c>
      <c r="F15" s="854">
        <v>42</v>
      </c>
      <c r="G15" s="884">
        <f t="shared" ca="1" si="0"/>
        <v>807.68</v>
      </c>
      <c r="H15" s="885">
        <v>807.68</v>
      </c>
      <c r="I15" s="886">
        <f t="shared" ca="1" si="1"/>
        <v>0</v>
      </c>
      <c r="J15" s="884">
        <v>1005.3079776827678</v>
      </c>
      <c r="K15" s="885">
        <v>1005.3079776827678</v>
      </c>
      <c r="L15" s="886">
        <f t="shared" si="2"/>
        <v>0</v>
      </c>
      <c r="M15" s="884">
        <v>0</v>
      </c>
      <c r="N15" s="885">
        <v>0</v>
      </c>
      <c r="O15" s="886">
        <v>0</v>
      </c>
      <c r="P15" s="884">
        <f t="shared" ca="1" si="3"/>
        <v>1812.9879776827679</v>
      </c>
      <c r="Q15" s="885">
        <f t="shared" si="4"/>
        <v>1812.9879776827679</v>
      </c>
      <c r="R15" s="886">
        <f t="shared" ca="1" si="5"/>
        <v>0</v>
      </c>
      <c r="S15" s="887">
        <v>22</v>
      </c>
      <c r="T15" s="888"/>
      <c r="U15" s="146"/>
      <c r="V15" s="98">
        <f t="shared" si="13"/>
        <v>924</v>
      </c>
      <c r="W15" s="158">
        <f t="shared" si="14"/>
        <v>9.0283614317526774E-3</v>
      </c>
      <c r="X15" s="158"/>
      <c r="Y15" s="159">
        <f t="shared" si="15"/>
        <v>0.17640897755610971</v>
      </c>
      <c r="Z15" s="160">
        <v>1</v>
      </c>
      <c r="AA15" s="159">
        <f t="shared" si="6"/>
        <v>0.17640897755610971</v>
      </c>
      <c r="AB15" s="161">
        <f t="shared" si="7"/>
        <v>3.704588528678304</v>
      </c>
      <c r="AC15" s="161"/>
      <c r="AD15" s="158"/>
      <c r="AE15" s="162">
        <f t="shared" ca="1" si="8"/>
        <v>17768.987063747434</v>
      </c>
      <c r="AF15" s="163">
        <f t="shared" si="9"/>
        <v>21111.467531338123</v>
      </c>
      <c r="AG15" s="147"/>
      <c r="AH15" s="162">
        <f t="shared" si="10"/>
        <v>21111.467531338123</v>
      </c>
      <c r="AJ15" s="165">
        <v>22116.775509020892</v>
      </c>
      <c r="AK15" s="150">
        <v>22</v>
      </c>
      <c r="AL15" s="880">
        <f t="shared" si="11"/>
        <v>1</v>
      </c>
      <c r="AM15" s="881">
        <f t="shared" si="12"/>
        <v>1005.3079776827678</v>
      </c>
    </row>
    <row r="16" spans="3:51" s="100" customFormat="1" ht="15" customHeight="1">
      <c r="C16" s="882"/>
      <c r="D16" s="883" t="s">
        <v>189</v>
      </c>
      <c r="E16" s="855" t="s">
        <v>193</v>
      </c>
      <c r="F16" s="854">
        <v>35</v>
      </c>
      <c r="G16" s="884">
        <f t="shared" ca="1" si="0"/>
        <v>673.07</v>
      </c>
      <c r="H16" s="885">
        <v>673.07</v>
      </c>
      <c r="I16" s="886">
        <f t="shared" ca="1" si="1"/>
        <v>0</v>
      </c>
      <c r="J16" s="884">
        <v>837.74932790078719</v>
      </c>
      <c r="K16" s="885">
        <v>837.74932790078719</v>
      </c>
      <c r="L16" s="886">
        <f t="shared" si="2"/>
        <v>0</v>
      </c>
      <c r="M16" s="884">
        <v>0</v>
      </c>
      <c r="N16" s="885">
        <v>0</v>
      </c>
      <c r="O16" s="886">
        <v>0</v>
      </c>
      <c r="P16" s="884">
        <f t="shared" ca="1" si="3"/>
        <v>1510.8193279007874</v>
      </c>
      <c r="Q16" s="885">
        <f t="shared" si="4"/>
        <v>1510.8193279007874</v>
      </c>
      <c r="R16" s="886">
        <f t="shared" ca="1" si="5"/>
        <v>0</v>
      </c>
      <c r="S16" s="887">
        <v>15</v>
      </c>
      <c r="T16" s="888"/>
      <c r="U16" s="146"/>
      <c r="V16" s="98">
        <f t="shared" si="13"/>
        <v>525</v>
      </c>
      <c r="W16" s="158">
        <f t="shared" si="14"/>
        <v>5.1297508134958399E-3</v>
      </c>
      <c r="X16" s="158"/>
      <c r="Y16" s="159">
        <f t="shared" si="15"/>
        <v>0.14700748129675809</v>
      </c>
      <c r="Z16" s="160">
        <v>3</v>
      </c>
      <c r="AA16" s="159">
        <f t="shared" si="6"/>
        <v>0.44102244389027423</v>
      </c>
      <c r="AB16" s="161">
        <f t="shared" si="7"/>
        <v>1.7640897755610974</v>
      </c>
      <c r="AC16" s="161"/>
      <c r="AD16" s="158"/>
      <c r="AE16" s="162">
        <f t="shared" ca="1" si="8"/>
        <v>10096.015377129224</v>
      </c>
      <c r="AF16" s="163">
        <f t="shared" si="9"/>
        <v>10052.991934809446</v>
      </c>
      <c r="AG16" s="147"/>
      <c r="AH16" s="162">
        <f t="shared" si="10"/>
        <v>10052.991934809446</v>
      </c>
      <c r="AJ16" s="165">
        <v>10052.991934809446</v>
      </c>
      <c r="AK16" s="150">
        <v>12</v>
      </c>
      <c r="AL16" s="880">
        <f t="shared" si="11"/>
        <v>0</v>
      </c>
      <c r="AM16" s="881">
        <f t="shared" si="12"/>
        <v>0</v>
      </c>
    </row>
    <row r="17" spans="3:39" s="100" customFormat="1" ht="15" customHeight="1">
      <c r="C17" s="871" t="s">
        <v>194</v>
      </c>
      <c r="D17" s="872" t="s">
        <v>189</v>
      </c>
      <c r="E17" s="873" t="s">
        <v>188</v>
      </c>
      <c r="F17" s="874">
        <f t="shared" ref="F17:F29" si="16">F12</f>
        <v>80</v>
      </c>
      <c r="G17" s="875">
        <f t="shared" ca="1" si="0"/>
        <v>1513.16</v>
      </c>
      <c r="H17" s="876">
        <v>1513.17</v>
      </c>
      <c r="I17" s="877">
        <f t="shared" ca="1" si="1"/>
        <v>-6.6086427830256376E-6</v>
      </c>
      <c r="J17" s="875">
        <v>1883.403144558582</v>
      </c>
      <c r="K17" s="876">
        <v>1883.403144558582</v>
      </c>
      <c r="L17" s="877">
        <f t="shared" si="2"/>
        <v>0</v>
      </c>
      <c r="M17" s="875">
        <v>0</v>
      </c>
      <c r="N17" s="876">
        <v>0</v>
      </c>
      <c r="O17" s="877">
        <v>0</v>
      </c>
      <c r="P17" s="875">
        <f t="shared" ca="1" si="3"/>
        <v>3396.5631445585823</v>
      </c>
      <c r="Q17" s="876">
        <f t="shared" si="4"/>
        <v>3396.573144558582</v>
      </c>
      <c r="R17" s="877">
        <f t="shared" ca="1" si="5"/>
        <v>-2.9441438691770406E-6</v>
      </c>
      <c r="S17" s="878">
        <v>10</v>
      </c>
      <c r="T17" s="879"/>
      <c r="U17" s="146">
        <v>25.82</v>
      </c>
      <c r="V17" s="98">
        <f t="shared" si="13"/>
        <v>800</v>
      </c>
      <c r="W17" s="158">
        <f t="shared" ref="W17:W21" si="17">(V17/SUM(V$17:V$21))*U$17/U$56</f>
        <v>7.6883258362194585E-3</v>
      </c>
      <c r="X17" s="158"/>
      <c r="Y17" s="159">
        <f t="shared" ref="Y17:Y21" si="18">U$17*(V17/SUM(V$17:V$21))/S17</f>
        <v>0.33049600000000001</v>
      </c>
      <c r="Z17" s="160">
        <v>2</v>
      </c>
      <c r="AA17" s="159">
        <f t="shared" si="6"/>
        <v>0.66099200000000002</v>
      </c>
      <c r="AB17" s="161">
        <f t="shared" si="7"/>
        <v>2.6439680000000001</v>
      </c>
      <c r="AC17" s="161"/>
      <c r="AD17" s="158"/>
      <c r="AE17" s="162">
        <f t="shared" ca="1" si="8"/>
        <v>15131.623092224596</v>
      </c>
      <c r="AF17" s="163">
        <f t="shared" si="9"/>
        <v>15067.225156468656</v>
      </c>
      <c r="AG17" s="147"/>
      <c r="AH17" s="162">
        <f t="shared" si="10"/>
        <v>15067.225156468656</v>
      </c>
      <c r="AJ17" s="165">
        <v>15067.225156468656</v>
      </c>
      <c r="AK17" s="150">
        <v>8</v>
      </c>
      <c r="AL17" s="880">
        <f t="shared" si="11"/>
        <v>0</v>
      </c>
      <c r="AM17" s="881">
        <f t="shared" si="12"/>
        <v>0</v>
      </c>
    </row>
    <row r="18" spans="3:39" s="100" customFormat="1" ht="15" customHeight="1">
      <c r="C18" s="882"/>
      <c r="D18" s="883" t="s">
        <v>189</v>
      </c>
      <c r="E18" s="855" t="s">
        <v>190</v>
      </c>
      <c r="F18" s="854">
        <f t="shared" si="16"/>
        <v>65</v>
      </c>
      <c r="G18" s="884">
        <f t="shared" ca="1" si="0"/>
        <v>1229.44</v>
      </c>
      <c r="H18" s="885">
        <v>1229.45</v>
      </c>
      <c r="I18" s="886">
        <f t="shared" ca="1" si="1"/>
        <v>-8.1337183293268578E-6</v>
      </c>
      <c r="J18" s="884">
        <v>1530.2606628529361</v>
      </c>
      <c r="K18" s="885">
        <v>1530.2606628529361</v>
      </c>
      <c r="L18" s="886">
        <f t="shared" si="2"/>
        <v>0</v>
      </c>
      <c r="M18" s="884">
        <v>0</v>
      </c>
      <c r="N18" s="885">
        <v>0</v>
      </c>
      <c r="O18" s="886">
        <v>0</v>
      </c>
      <c r="P18" s="884">
        <f t="shared" ca="1" si="3"/>
        <v>2759.7006628529361</v>
      </c>
      <c r="Q18" s="885">
        <f t="shared" si="4"/>
        <v>2759.7106628529364</v>
      </c>
      <c r="R18" s="886">
        <f t="shared" ca="1" si="5"/>
        <v>-3.6235682728712107E-6</v>
      </c>
      <c r="S18" s="887">
        <v>30</v>
      </c>
      <c r="T18" s="888"/>
      <c r="U18" s="146"/>
      <c r="V18" s="98">
        <f t="shared" si="13"/>
        <v>1950</v>
      </c>
      <c r="W18" s="158">
        <f t="shared" si="17"/>
        <v>1.874029422578493E-2</v>
      </c>
      <c r="X18" s="158"/>
      <c r="Y18" s="159">
        <f t="shared" si="18"/>
        <v>0.26852799999999999</v>
      </c>
      <c r="Z18" s="160">
        <v>4</v>
      </c>
      <c r="AA18" s="159">
        <f t="shared" si="6"/>
        <v>1.074112</v>
      </c>
      <c r="AB18" s="161">
        <f t="shared" si="7"/>
        <v>6.9817280000000004</v>
      </c>
      <c r="AC18" s="161"/>
      <c r="AD18" s="158"/>
      <c r="AE18" s="162">
        <f t="shared" ca="1" si="8"/>
        <v>36883.331287297449</v>
      </c>
      <c r="AF18" s="163">
        <f t="shared" si="9"/>
        <v>39786.777234176341</v>
      </c>
      <c r="AG18" s="147"/>
      <c r="AH18" s="162">
        <f t="shared" si="10"/>
        <v>39786.777234176341</v>
      </c>
      <c r="AJ18" s="165">
        <v>39786.777234176341</v>
      </c>
      <c r="AK18" s="150">
        <v>26</v>
      </c>
      <c r="AL18" s="880">
        <f t="shared" si="11"/>
        <v>0</v>
      </c>
      <c r="AM18" s="881">
        <f t="shared" si="12"/>
        <v>0</v>
      </c>
    </row>
    <row r="19" spans="3:39" s="100" customFormat="1" ht="15" customHeight="1">
      <c r="C19" s="882"/>
      <c r="D19" s="883" t="s">
        <v>189</v>
      </c>
      <c r="E19" s="855" t="s">
        <v>191</v>
      </c>
      <c r="F19" s="854">
        <f t="shared" si="16"/>
        <v>52</v>
      </c>
      <c r="G19" s="884">
        <f t="shared" ca="1" si="0"/>
        <v>983.56</v>
      </c>
      <c r="H19" s="885">
        <v>983.56</v>
      </c>
      <c r="I19" s="886">
        <f t="shared" ca="1" si="1"/>
        <v>0</v>
      </c>
      <c r="J19" s="884">
        <v>1224.2102871227137</v>
      </c>
      <c r="K19" s="885">
        <v>1224.2102871227137</v>
      </c>
      <c r="L19" s="886">
        <f t="shared" si="2"/>
        <v>0</v>
      </c>
      <c r="M19" s="884">
        <v>0</v>
      </c>
      <c r="N19" s="885">
        <v>0</v>
      </c>
      <c r="O19" s="886">
        <v>0</v>
      </c>
      <c r="P19" s="884">
        <f t="shared" ca="1" si="3"/>
        <v>2207.7702871227139</v>
      </c>
      <c r="Q19" s="885">
        <f t="shared" si="4"/>
        <v>2207.7702871227139</v>
      </c>
      <c r="R19" s="886">
        <f t="shared" ca="1" si="5"/>
        <v>0</v>
      </c>
      <c r="S19" s="887">
        <v>35</v>
      </c>
      <c r="T19" s="888"/>
      <c r="U19" s="146"/>
      <c r="V19" s="98">
        <f t="shared" si="13"/>
        <v>1820</v>
      </c>
      <c r="W19" s="158">
        <f t="shared" si="17"/>
        <v>1.7490941277399266E-2</v>
      </c>
      <c r="X19" s="158"/>
      <c r="Y19" s="159">
        <f t="shared" si="18"/>
        <v>0.2148224</v>
      </c>
      <c r="Z19" s="160">
        <v>2</v>
      </c>
      <c r="AA19" s="159">
        <f t="shared" si="6"/>
        <v>0.42964479999999999</v>
      </c>
      <c r="AB19" s="161">
        <f t="shared" si="7"/>
        <v>7.0891392</v>
      </c>
      <c r="AC19" s="161"/>
      <c r="AD19" s="158"/>
      <c r="AE19" s="162">
        <f t="shared" ca="1" si="8"/>
        <v>34424.442534810951</v>
      </c>
      <c r="AF19" s="163">
        <f t="shared" si="9"/>
        <v>40398.939475049548</v>
      </c>
      <c r="AG19" s="147"/>
      <c r="AH19" s="162">
        <f t="shared" si="10"/>
        <v>40398.939475049548</v>
      </c>
      <c r="AJ19" s="165">
        <v>40398.939475049548</v>
      </c>
      <c r="AK19" s="150">
        <v>33</v>
      </c>
      <c r="AL19" s="880">
        <f t="shared" si="11"/>
        <v>0</v>
      </c>
      <c r="AM19" s="881">
        <f t="shared" si="12"/>
        <v>0</v>
      </c>
    </row>
    <row r="20" spans="3:39" s="100" customFormat="1" ht="15" customHeight="1">
      <c r="C20" s="882"/>
      <c r="D20" s="883" t="s">
        <v>189</v>
      </c>
      <c r="E20" s="855" t="s">
        <v>192</v>
      </c>
      <c r="F20" s="854">
        <f t="shared" si="16"/>
        <v>42</v>
      </c>
      <c r="G20" s="884">
        <f t="shared" ca="1" si="0"/>
        <v>794.41</v>
      </c>
      <c r="H20" s="885">
        <v>794.41</v>
      </c>
      <c r="I20" s="886">
        <f t="shared" ca="1" si="1"/>
        <v>0</v>
      </c>
      <c r="J20" s="884">
        <v>988.78489405289088</v>
      </c>
      <c r="K20" s="885">
        <v>988.78489405289088</v>
      </c>
      <c r="L20" s="886">
        <f t="shared" si="2"/>
        <v>0</v>
      </c>
      <c r="M20" s="884">
        <v>0</v>
      </c>
      <c r="N20" s="885">
        <v>0</v>
      </c>
      <c r="O20" s="886">
        <v>0</v>
      </c>
      <c r="P20" s="884">
        <f t="shared" ca="1" si="3"/>
        <v>1783.194894052891</v>
      </c>
      <c r="Q20" s="885">
        <f t="shared" si="4"/>
        <v>1783.194894052891</v>
      </c>
      <c r="R20" s="886">
        <f t="shared" ca="1" si="5"/>
        <v>0</v>
      </c>
      <c r="S20" s="887">
        <v>30</v>
      </c>
      <c r="T20" s="888"/>
      <c r="U20" s="146"/>
      <c r="V20" s="98">
        <f t="shared" si="13"/>
        <v>1260</v>
      </c>
      <c r="W20" s="158">
        <f t="shared" si="17"/>
        <v>1.2109113192045648E-2</v>
      </c>
      <c r="X20" s="158"/>
      <c r="Y20" s="159">
        <f t="shared" si="18"/>
        <v>0.17351040000000001</v>
      </c>
      <c r="Z20" s="160">
        <v>3</v>
      </c>
      <c r="AA20" s="159">
        <f t="shared" si="6"/>
        <v>0.52053119999999997</v>
      </c>
      <c r="AB20" s="161">
        <f t="shared" si="7"/>
        <v>4.6847808000000004</v>
      </c>
      <c r="AC20" s="161"/>
      <c r="AD20" s="158"/>
      <c r="AE20" s="162">
        <f t="shared" ca="1" si="8"/>
        <v>23832.30637025374</v>
      </c>
      <c r="AF20" s="163">
        <f t="shared" si="9"/>
        <v>26697.192139428054</v>
      </c>
      <c r="AG20" s="147"/>
      <c r="AH20" s="162">
        <f t="shared" si="10"/>
        <v>26697.192139428054</v>
      </c>
      <c r="AJ20" s="165">
        <v>26697.192139428054</v>
      </c>
      <c r="AK20" s="150">
        <v>27</v>
      </c>
      <c r="AL20" s="880">
        <f t="shared" si="11"/>
        <v>0</v>
      </c>
      <c r="AM20" s="881">
        <f t="shared" si="12"/>
        <v>0</v>
      </c>
    </row>
    <row r="21" spans="3:39" s="100" customFormat="1" ht="15" customHeight="1">
      <c r="C21" s="882"/>
      <c r="D21" s="883" t="s">
        <v>189</v>
      </c>
      <c r="E21" s="855" t="s">
        <v>193</v>
      </c>
      <c r="F21" s="854">
        <f t="shared" si="16"/>
        <v>35</v>
      </c>
      <c r="G21" s="884">
        <f t="shared" ca="1" si="0"/>
        <v>662.01</v>
      </c>
      <c r="H21" s="885">
        <v>662.01</v>
      </c>
      <c r="I21" s="886">
        <f t="shared" ca="1" si="1"/>
        <v>0</v>
      </c>
      <c r="J21" s="884">
        <v>823.98448364346791</v>
      </c>
      <c r="K21" s="885">
        <v>823.98448364346791</v>
      </c>
      <c r="L21" s="886">
        <f t="shared" si="2"/>
        <v>0</v>
      </c>
      <c r="M21" s="884">
        <v>0</v>
      </c>
      <c r="N21" s="885">
        <v>0</v>
      </c>
      <c r="O21" s="886">
        <v>0</v>
      </c>
      <c r="P21" s="884">
        <f t="shared" ca="1" si="3"/>
        <v>1485.9944836434679</v>
      </c>
      <c r="Q21" s="885">
        <f t="shared" si="4"/>
        <v>1485.9944836434679</v>
      </c>
      <c r="R21" s="886">
        <f t="shared" ca="1" si="5"/>
        <v>0</v>
      </c>
      <c r="S21" s="887">
        <v>12</v>
      </c>
      <c r="T21" s="888"/>
      <c r="U21" s="146"/>
      <c r="V21" s="98">
        <f t="shared" si="13"/>
        <v>420</v>
      </c>
      <c r="W21" s="158">
        <f t="shared" si="17"/>
        <v>4.0363710640152154E-3</v>
      </c>
      <c r="X21" s="158"/>
      <c r="Y21" s="159">
        <f t="shared" si="18"/>
        <v>0.144592</v>
      </c>
      <c r="Z21" s="160">
        <v>1</v>
      </c>
      <c r="AA21" s="159">
        <f t="shared" si="6"/>
        <v>0.144592</v>
      </c>
      <c r="AB21" s="161">
        <f t="shared" si="7"/>
        <v>1.5905119999999999</v>
      </c>
      <c r="AC21" s="161"/>
      <c r="AD21" s="158"/>
      <c r="AE21" s="162">
        <f t="shared" ca="1" si="8"/>
        <v>7944.1021234179125</v>
      </c>
      <c r="AF21" s="163">
        <f t="shared" si="9"/>
        <v>9063.8293200781463</v>
      </c>
      <c r="AG21" s="147"/>
      <c r="AH21" s="162">
        <f t="shared" si="10"/>
        <v>9063.8293200781463</v>
      </c>
      <c r="AJ21" s="165">
        <v>9063.8293200781463</v>
      </c>
      <c r="AK21" s="150">
        <v>11</v>
      </c>
      <c r="AL21" s="880">
        <f t="shared" si="11"/>
        <v>0</v>
      </c>
      <c r="AM21" s="881">
        <f t="shared" si="12"/>
        <v>0</v>
      </c>
    </row>
    <row r="22" spans="3:39" s="100" customFormat="1" ht="15" customHeight="1">
      <c r="C22" s="871" t="s">
        <v>195</v>
      </c>
      <c r="D22" s="872" t="s">
        <v>189</v>
      </c>
      <c r="E22" s="873" t="s">
        <v>188</v>
      </c>
      <c r="F22" s="874">
        <f t="shared" si="16"/>
        <v>80</v>
      </c>
      <c r="G22" s="875">
        <f t="shared" ca="1" si="0"/>
        <v>1573.47</v>
      </c>
      <c r="H22" s="876">
        <v>1573.48</v>
      </c>
      <c r="I22" s="877">
        <f t="shared" ca="1" si="1"/>
        <v>-6.3553397564576E-6</v>
      </c>
      <c r="J22" s="875">
        <v>1958.4729333416387</v>
      </c>
      <c r="K22" s="876">
        <v>1958.4729333416387</v>
      </c>
      <c r="L22" s="877">
        <f t="shared" si="2"/>
        <v>0</v>
      </c>
      <c r="M22" s="875">
        <v>0</v>
      </c>
      <c r="N22" s="876">
        <v>0</v>
      </c>
      <c r="O22" s="877">
        <v>0</v>
      </c>
      <c r="P22" s="875">
        <f t="shared" ca="1" si="3"/>
        <v>3531.9429333416388</v>
      </c>
      <c r="Q22" s="876">
        <f t="shared" si="4"/>
        <v>3531.9529333416385</v>
      </c>
      <c r="R22" s="877">
        <f t="shared" ca="1" si="5"/>
        <v>-2.8312948072901886E-6</v>
      </c>
      <c r="S22" s="878">
        <v>4</v>
      </c>
      <c r="T22" s="879"/>
      <c r="U22" s="146">
        <v>17.54</v>
      </c>
      <c r="V22" s="98">
        <f t="shared" si="13"/>
        <v>320</v>
      </c>
      <c r="W22" s="158">
        <f t="shared" ref="W22:W26" si="19">(V22/SUM(V$22:V$26))*U$22/U$56</f>
        <v>3.1979064914092162E-3</v>
      </c>
      <c r="X22" s="158"/>
      <c r="Y22" s="159">
        <f t="shared" ref="Y22:Y26" si="20">U$22*(V22/SUM(V$22:V$26))/S22</f>
        <v>0.34366887092823906</v>
      </c>
      <c r="Z22" s="160"/>
      <c r="AA22" s="159">
        <f t="shared" si="6"/>
        <v>0</v>
      </c>
      <c r="AB22" s="161">
        <f t="shared" si="7"/>
        <v>1.3746754837129562</v>
      </c>
      <c r="AC22" s="161"/>
      <c r="AD22" s="158"/>
      <c r="AE22" s="162">
        <f t="shared" ca="1" si="8"/>
        <v>6293.8950225315839</v>
      </c>
      <c r="AF22" s="163">
        <f t="shared" si="9"/>
        <v>7833.8917333665549</v>
      </c>
      <c r="AG22" s="147"/>
      <c r="AH22" s="162">
        <f t="shared" si="10"/>
        <v>7833.8917333665549</v>
      </c>
      <c r="AJ22" s="165">
        <v>7833.8917333665549</v>
      </c>
      <c r="AK22" s="150">
        <v>4</v>
      </c>
      <c r="AL22" s="880">
        <f t="shared" si="11"/>
        <v>0</v>
      </c>
      <c r="AM22" s="881">
        <f t="shared" si="12"/>
        <v>0</v>
      </c>
    </row>
    <row r="23" spans="3:39" s="100" customFormat="1" ht="15" customHeight="1">
      <c r="C23" s="882"/>
      <c r="D23" s="883" t="s">
        <v>189</v>
      </c>
      <c r="E23" s="855" t="s">
        <v>190</v>
      </c>
      <c r="F23" s="854">
        <f t="shared" si="16"/>
        <v>65</v>
      </c>
      <c r="G23" s="884">
        <f t="shared" ca="1" si="0"/>
        <v>1278.45</v>
      </c>
      <c r="H23" s="885">
        <v>1278.45</v>
      </c>
      <c r="I23" s="886">
        <f t="shared" ca="1" si="1"/>
        <v>0</v>
      </c>
      <c r="J23" s="884">
        <v>1591.2581603148537</v>
      </c>
      <c r="K23" s="885">
        <v>1591.2581603148537</v>
      </c>
      <c r="L23" s="886">
        <f t="shared" si="2"/>
        <v>0</v>
      </c>
      <c r="M23" s="884">
        <v>0</v>
      </c>
      <c r="N23" s="885">
        <v>0</v>
      </c>
      <c r="O23" s="886">
        <v>0</v>
      </c>
      <c r="P23" s="884">
        <f t="shared" ca="1" si="3"/>
        <v>2869.7081603148536</v>
      </c>
      <c r="Q23" s="885">
        <f t="shared" si="4"/>
        <v>2869.7081603148536</v>
      </c>
      <c r="R23" s="886">
        <f t="shared" ca="1" si="5"/>
        <v>0</v>
      </c>
      <c r="S23" s="887">
        <v>14</v>
      </c>
      <c r="T23" s="888"/>
      <c r="U23" s="146"/>
      <c r="V23" s="98">
        <f t="shared" si="13"/>
        <v>910</v>
      </c>
      <c r="W23" s="158">
        <f t="shared" si="19"/>
        <v>9.0940465849449568E-3</v>
      </c>
      <c r="X23" s="158"/>
      <c r="Y23" s="159">
        <f t="shared" si="20"/>
        <v>0.2792309576291942</v>
      </c>
      <c r="Z23" s="160"/>
      <c r="AA23" s="159">
        <f t="shared" si="6"/>
        <v>0</v>
      </c>
      <c r="AB23" s="161">
        <f t="shared" si="7"/>
        <v>3.9092334068087187</v>
      </c>
      <c r="AC23" s="161"/>
      <c r="AD23" s="158"/>
      <c r="AE23" s="162">
        <f t="shared" ca="1" si="8"/>
        <v>17898.263970324188</v>
      </c>
      <c r="AF23" s="163">
        <f t="shared" si="9"/>
        <v>22277.614244407952</v>
      </c>
      <c r="AG23" s="147"/>
      <c r="AH23" s="162">
        <f t="shared" si="10"/>
        <v>22277.614244407952</v>
      </c>
      <c r="AJ23" s="165">
        <v>22277.614244407952</v>
      </c>
      <c r="AK23" s="150">
        <v>14</v>
      </c>
      <c r="AL23" s="880">
        <f t="shared" si="11"/>
        <v>0</v>
      </c>
      <c r="AM23" s="881">
        <f t="shared" si="12"/>
        <v>0</v>
      </c>
    </row>
    <row r="24" spans="3:39" s="100" customFormat="1" ht="15" customHeight="1">
      <c r="C24" s="882"/>
      <c r="D24" s="883" t="s">
        <v>189</v>
      </c>
      <c r="E24" s="855" t="s">
        <v>191</v>
      </c>
      <c r="F24" s="854">
        <f t="shared" si="16"/>
        <v>52</v>
      </c>
      <c r="G24" s="884">
        <f t="shared" ca="1" si="0"/>
        <v>1022.76</v>
      </c>
      <c r="H24" s="885">
        <v>1022.76</v>
      </c>
      <c r="I24" s="886">
        <f t="shared" ca="1" si="1"/>
        <v>0</v>
      </c>
      <c r="J24" s="884">
        <v>1273.0065282518831</v>
      </c>
      <c r="K24" s="885">
        <v>1273.0065282518831</v>
      </c>
      <c r="L24" s="886">
        <f t="shared" si="2"/>
        <v>0</v>
      </c>
      <c r="M24" s="884">
        <v>0</v>
      </c>
      <c r="N24" s="885">
        <v>0</v>
      </c>
      <c r="O24" s="886">
        <v>0</v>
      </c>
      <c r="P24" s="884">
        <f t="shared" ca="1" si="3"/>
        <v>2295.7665282518828</v>
      </c>
      <c r="Q24" s="885">
        <f t="shared" si="4"/>
        <v>2295.7665282518828</v>
      </c>
      <c r="R24" s="886">
        <f t="shared" ca="1" si="5"/>
        <v>0</v>
      </c>
      <c r="S24" s="887">
        <v>13</v>
      </c>
      <c r="T24" s="888"/>
      <c r="U24" s="146"/>
      <c r="V24" s="98">
        <f t="shared" si="13"/>
        <v>676</v>
      </c>
      <c r="W24" s="158">
        <f t="shared" si="19"/>
        <v>6.7555774631019678E-3</v>
      </c>
      <c r="X24" s="158"/>
      <c r="Y24" s="159">
        <f t="shared" si="20"/>
        <v>0.22338476610335536</v>
      </c>
      <c r="Z24" s="160"/>
      <c r="AA24" s="159">
        <f t="shared" si="6"/>
        <v>0</v>
      </c>
      <c r="AB24" s="161">
        <f t="shared" si="7"/>
        <v>2.9040019593436197</v>
      </c>
      <c r="AC24" s="161"/>
      <c r="AD24" s="158"/>
      <c r="AE24" s="162">
        <f t="shared" ca="1" si="8"/>
        <v>13295.853235097969</v>
      </c>
      <c r="AF24" s="163">
        <f t="shared" si="9"/>
        <v>16549.08486727448</v>
      </c>
      <c r="AG24" s="147"/>
      <c r="AH24" s="162">
        <f t="shared" si="10"/>
        <v>16549.08486727448</v>
      </c>
      <c r="AJ24" s="165">
        <v>16549.08486727448</v>
      </c>
      <c r="AK24" s="150">
        <v>13</v>
      </c>
      <c r="AL24" s="880">
        <f t="shared" si="11"/>
        <v>0</v>
      </c>
      <c r="AM24" s="881">
        <f t="shared" si="12"/>
        <v>0</v>
      </c>
    </row>
    <row r="25" spans="3:39" s="100" customFormat="1" ht="15" customHeight="1">
      <c r="C25" s="882"/>
      <c r="D25" s="883" t="s">
        <v>189</v>
      </c>
      <c r="E25" s="855" t="s">
        <v>192</v>
      </c>
      <c r="F25" s="854">
        <f t="shared" si="16"/>
        <v>42</v>
      </c>
      <c r="G25" s="884">
        <f t="shared" ca="1" si="0"/>
        <v>826.07</v>
      </c>
      <c r="H25" s="885">
        <v>826.08</v>
      </c>
      <c r="I25" s="886">
        <f t="shared" ca="1" si="1"/>
        <v>-1.210536509780034E-5</v>
      </c>
      <c r="J25" s="884">
        <v>1028.1996076346338</v>
      </c>
      <c r="K25" s="885">
        <v>1028.1996076346338</v>
      </c>
      <c r="L25" s="886">
        <f t="shared" si="2"/>
        <v>0</v>
      </c>
      <c r="M25" s="884">
        <v>0</v>
      </c>
      <c r="N25" s="885">
        <v>0</v>
      </c>
      <c r="O25" s="886">
        <v>0</v>
      </c>
      <c r="P25" s="884">
        <f t="shared" ca="1" si="3"/>
        <v>1854.2696076346338</v>
      </c>
      <c r="Q25" s="885">
        <f t="shared" si="4"/>
        <v>1854.279607634634</v>
      </c>
      <c r="R25" s="886">
        <f t="shared" ca="1" si="5"/>
        <v>-5.3929299330291038E-6</v>
      </c>
      <c r="S25" s="887">
        <v>31</v>
      </c>
      <c r="T25" s="888"/>
      <c r="U25" s="146"/>
      <c r="V25" s="98">
        <f t="shared" si="13"/>
        <v>1302</v>
      </c>
      <c r="W25" s="158">
        <f t="shared" si="19"/>
        <v>1.3011482036921245E-2</v>
      </c>
      <c r="X25" s="158"/>
      <c r="Y25" s="159">
        <f t="shared" si="20"/>
        <v>0.18042615723732547</v>
      </c>
      <c r="Z25" s="160">
        <v>1</v>
      </c>
      <c r="AA25" s="159">
        <f t="shared" si="6"/>
        <v>0.18042615723732547</v>
      </c>
      <c r="AB25" s="161">
        <f t="shared" si="7"/>
        <v>5.4127847171197647</v>
      </c>
      <c r="AC25" s="161"/>
      <c r="AD25" s="158"/>
      <c r="AE25" s="162">
        <f t="shared" ca="1" si="8"/>
        <v>25608.285372925377</v>
      </c>
      <c r="AF25" s="163">
        <f t="shared" si="9"/>
        <v>30845.988229039016</v>
      </c>
      <c r="AG25" s="147"/>
      <c r="AH25" s="162">
        <f t="shared" si="10"/>
        <v>30845.988229039016</v>
      </c>
      <c r="AJ25" s="165">
        <v>30845.988229039016</v>
      </c>
      <c r="AK25" s="150">
        <v>30</v>
      </c>
      <c r="AL25" s="880">
        <f t="shared" si="11"/>
        <v>0</v>
      </c>
      <c r="AM25" s="881">
        <f t="shared" si="12"/>
        <v>0</v>
      </c>
    </row>
    <row r="26" spans="3:39" s="100" customFormat="1" ht="15" customHeight="1">
      <c r="C26" s="882"/>
      <c r="D26" s="883" t="s">
        <v>189</v>
      </c>
      <c r="E26" s="855" t="s">
        <v>193</v>
      </c>
      <c r="F26" s="854">
        <f t="shared" si="16"/>
        <v>35</v>
      </c>
      <c r="G26" s="884">
        <f t="shared" ca="1" si="0"/>
        <v>688.39</v>
      </c>
      <c r="H26" s="885">
        <v>688.4</v>
      </c>
      <c r="I26" s="886">
        <f t="shared" ca="1" si="1"/>
        <v>-1.4526438117360409E-5</v>
      </c>
      <c r="J26" s="884">
        <v>856.82861426128318</v>
      </c>
      <c r="K26" s="885">
        <v>856.82861426128318</v>
      </c>
      <c r="L26" s="886">
        <f t="shared" si="2"/>
        <v>0</v>
      </c>
      <c r="M26" s="884">
        <v>0</v>
      </c>
      <c r="N26" s="885">
        <v>0</v>
      </c>
      <c r="O26" s="886">
        <v>0</v>
      </c>
      <c r="P26" s="884">
        <f t="shared" ca="1" si="3"/>
        <v>1545.2186142612832</v>
      </c>
      <c r="Q26" s="885">
        <f t="shared" si="4"/>
        <v>1545.2286142612832</v>
      </c>
      <c r="R26" s="886">
        <f t="shared" ca="1" si="5"/>
        <v>-6.4715343138863218E-6</v>
      </c>
      <c r="S26" s="887">
        <v>25</v>
      </c>
      <c r="T26" s="888"/>
      <c r="U26" s="146"/>
      <c r="V26" s="98">
        <f t="shared" si="13"/>
        <v>875</v>
      </c>
      <c r="W26" s="158">
        <f t="shared" si="19"/>
        <v>8.7442755624470743E-3</v>
      </c>
      <c r="X26" s="158"/>
      <c r="Y26" s="159">
        <f t="shared" si="20"/>
        <v>0.15035513103110457</v>
      </c>
      <c r="Z26" s="160">
        <v>1</v>
      </c>
      <c r="AA26" s="159">
        <f t="shared" si="6"/>
        <v>0.15035513103110457</v>
      </c>
      <c r="AB26" s="161">
        <f t="shared" si="7"/>
        <v>3.6085231447465098</v>
      </c>
      <c r="AC26" s="161"/>
      <c r="AD26" s="158"/>
      <c r="AE26" s="162">
        <f t="shared" ca="1" si="8"/>
        <v>17209.8692022348</v>
      </c>
      <c r="AF26" s="163">
        <f t="shared" si="9"/>
        <v>20563.886742270795</v>
      </c>
      <c r="AG26" s="147"/>
      <c r="AH26" s="162">
        <f t="shared" si="10"/>
        <v>20563.886742270795</v>
      </c>
      <c r="AJ26" s="165">
        <v>20563.886742270795</v>
      </c>
      <c r="AK26" s="150">
        <v>24</v>
      </c>
      <c r="AL26" s="880">
        <f t="shared" si="11"/>
        <v>0</v>
      </c>
      <c r="AM26" s="881">
        <f t="shared" si="12"/>
        <v>0</v>
      </c>
    </row>
    <row r="27" spans="3:39" s="100" customFormat="1" ht="15" customHeight="1">
      <c r="C27" s="871" t="s">
        <v>196</v>
      </c>
      <c r="D27" s="872" t="s">
        <v>189</v>
      </c>
      <c r="E27" s="873" t="s">
        <v>188</v>
      </c>
      <c r="F27" s="874">
        <f t="shared" si="16"/>
        <v>80</v>
      </c>
      <c r="G27" s="875">
        <f t="shared" ca="1" si="0"/>
        <v>1625.63</v>
      </c>
      <c r="H27" s="876">
        <v>1625.63</v>
      </c>
      <c r="I27" s="877">
        <f t="shared" ca="1" si="1"/>
        <v>0</v>
      </c>
      <c r="J27" s="875">
        <v>2023.3881848168073</v>
      </c>
      <c r="K27" s="876">
        <v>2023.3881848168073</v>
      </c>
      <c r="L27" s="877">
        <f t="shared" si="2"/>
        <v>0</v>
      </c>
      <c r="M27" s="875">
        <v>0</v>
      </c>
      <c r="N27" s="876">
        <v>0</v>
      </c>
      <c r="O27" s="877">
        <v>0</v>
      </c>
      <c r="P27" s="875">
        <f t="shared" ca="1" si="3"/>
        <v>3649.0181848168077</v>
      </c>
      <c r="Q27" s="876">
        <f t="shared" si="4"/>
        <v>3649.0181848168077</v>
      </c>
      <c r="R27" s="877">
        <f t="shared" ca="1" si="5"/>
        <v>0</v>
      </c>
      <c r="S27" s="878">
        <v>9</v>
      </c>
      <c r="T27" s="879"/>
      <c r="U27" s="146">
        <v>10.35</v>
      </c>
      <c r="V27" s="98">
        <f t="shared" si="13"/>
        <v>720</v>
      </c>
      <c r="W27" s="158">
        <f t="shared" ref="W27:W29" si="21">(V27/SUM(V$27:V$29))*U$27/U$56</f>
        <v>7.4337828949296953E-3</v>
      </c>
      <c r="X27" s="158"/>
      <c r="Y27" s="159">
        <f t="shared" ref="Y27:Y29" si="22">U$27*(V27/SUM(V$27:V$29))/S27</f>
        <v>0.35506003430531735</v>
      </c>
      <c r="Z27" s="160">
        <v>1</v>
      </c>
      <c r="AA27" s="159">
        <f t="shared" si="6"/>
        <v>0.35506003430531735</v>
      </c>
      <c r="AB27" s="161">
        <f t="shared" si="7"/>
        <v>2.8404802744425388</v>
      </c>
      <c r="AC27" s="161"/>
      <c r="AD27" s="158"/>
      <c r="AE27" s="162">
        <f t="shared" ca="1" si="8"/>
        <v>14630.649547342047</v>
      </c>
      <c r="AF27" s="163">
        <f t="shared" si="9"/>
        <v>16187.105478534459</v>
      </c>
      <c r="AG27" s="147"/>
      <c r="AH27" s="162">
        <f t="shared" si="10"/>
        <v>16187.105478534459</v>
      </c>
      <c r="AJ27" s="165">
        <v>16187.105478534459</v>
      </c>
      <c r="AK27" s="150">
        <v>8</v>
      </c>
      <c r="AL27" s="880">
        <f t="shared" si="11"/>
        <v>0</v>
      </c>
      <c r="AM27" s="881">
        <f t="shared" si="12"/>
        <v>0</v>
      </c>
    </row>
    <row r="28" spans="3:39" s="100" customFormat="1" ht="15" customHeight="1">
      <c r="C28" s="882"/>
      <c r="D28" s="883" t="s">
        <v>189</v>
      </c>
      <c r="E28" s="855" t="s">
        <v>190</v>
      </c>
      <c r="F28" s="854">
        <f t="shared" si="16"/>
        <v>65</v>
      </c>
      <c r="G28" s="884">
        <f t="shared" ca="1" si="0"/>
        <v>1320.82</v>
      </c>
      <c r="H28" s="885">
        <v>1320.82</v>
      </c>
      <c r="I28" s="886">
        <f t="shared" ca="1" si="1"/>
        <v>0</v>
      </c>
      <c r="J28" s="884">
        <v>1643.9985080627441</v>
      </c>
      <c r="K28" s="885">
        <v>1643.9985080627441</v>
      </c>
      <c r="L28" s="886">
        <f t="shared" si="2"/>
        <v>0</v>
      </c>
      <c r="M28" s="884">
        <v>0</v>
      </c>
      <c r="N28" s="885">
        <v>0</v>
      </c>
      <c r="O28" s="886">
        <v>0</v>
      </c>
      <c r="P28" s="884">
        <f t="shared" ca="1" si="3"/>
        <v>2964.8185080627441</v>
      </c>
      <c r="Q28" s="885">
        <f t="shared" si="4"/>
        <v>2964.8185080627441</v>
      </c>
      <c r="R28" s="886">
        <f t="shared" ca="1" si="5"/>
        <v>0</v>
      </c>
      <c r="S28" s="887">
        <v>20</v>
      </c>
      <c r="T28" s="888"/>
      <c r="U28" s="146"/>
      <c r="V28" s="98">
        <f t="shared" si="13"/>
        <v>1300</v>
      </c>
      <c r="W28" s="158">
        <f t="shared" si="21"/>
        <v>1.3422108004734172E-2</v>
      </c>
      <c r="X28" s="158"/>
      <c r="Y28" s="159">
        <f t="shared" si="22"/>
        <v>0.2884862778730703</v>
      </c>
      <c r="Z28" s="160"/>
      <c r="AA28" s="159">
        <f t="shared" si="6"/>
        <v>0</v>
      </c>
      <c r="AB28" s="161">
        <f t="shared" si="7"/>
        <v>5.7697255574614061</v>
      </c>
      <c r="AC28" s="161"/>
      <c r="AD28" s="158"/>
      <c r="AE28" s="162">
        <f t="shared" ca="1" si="8"/>
        <v>26416.450571589809</v>
      </c>
      <c r="AF28" s="163">
        <f t="shared" si="9"/>
        <v>32879.970161254882</v>
      </c>
      <c r="AG28" s="147"/>
      <c r="AH28" s="162">
        <f t="shared" si="10"/>
        <v>32879.970161254882</v>
      </c>
      <c r="AJ28" s="165">
        <v>32879.970161254882</v>
      </c>
      <c r="AK28" s="150">
        <v>20</v>
      </c>
      <c r="AL28" s="880">
        <f t="shared" si="11"/>
        <v>0</v>
      </c>
      <c r="AM28" s="881">
        <f t="shared" si="12"/>
        <v>0</v>
      </c>
    </row>
    <row r="29" spans="3:39" s="100" customFormat="1" ht="15" customHeight="1">
      <c r="C29" s="882"/>
      <c r="D29" s="883" t="s">
        <v>189</v>
      </c>
      <c r="E29" s="855" t="s">
        <v>191</v>
      </c>
      <c r="F29" s="854">
        <f t="shared" si="16"/>
        <v>52</v>
      </c>
      <c r="G29" s="884">
        <f t="shared" ca="1" si="0"/>
        <v>1056.6600000000001</v>
      </c>
      <c r="H29" s="885">
        <v>1056.6600000000001</v>
      </c>
      <c r="I29" s="886">
        <f t="shared" ca="1" si="1"/>
        <v>0</v>
      </c>
      <c r="J29" s="884">
        <v>1315.1970496098306</v>
      </c>
      <c r="K29" s="885">
        <v>1315.1970496098306</v>
      </c>
      <c r="L29" s="886">
        <f t="shared" si="2"/>
        <v>0</v>
      </c>
      <c r="M29" s="884">
        <v>0</v>
      </c>
      <c r="N29" s="885">
        <v>0</v>
      </c>
      <c r="O29" s="886">
        <v>0</v>
      </c>
      <c r="P29" s="884">
        <f t="shared" ca="1" si="3"/>
        <v>2371.8570496098309</v>
      </c>
      <c r="Q29" s="885">
        <f t="shared" si="4"/>
        <v>2371.8570496098309</v>
      </c>
      <c r="R29" s="886">
        <f t="shared" ca="1" si="5"/>
        <v>0</v>
      </c>
      <c r="S29" s="887">
        <v>6</v>
      </c>
      <c r="T29" s="888"/>
      <c r="U29" s="146"/>
      <c r="V29" s="98">
        <f t="shared" si="13"/>
        <v>312</v>
      </c>
      <c r="W29" s="158">
        <f t="shared" si="21"/>
        <v>3.221305921136201E-3</v>
      </c>
      <c r="X29" s="158"/>
      <c r="Y29" s="159">
        <f t="shared" si="22"/>
        <v>0.23078902229845624</v>
      </c>
      <c r="Z29" s="160"/>
      <c r="AA29" s="159">
        <f t="shared" si="6"/>
        <v>0</v>
      </c>
      <c r="AB29" s="161">
        <f t="shared" si="7"/>
        <v>1.3847341337907375</v>
      </c>
      <c r="AC29" s="161"/>
      <c r="AD29" s="158"/>
      <c r="AE29" s="162">
        <f t="shared" ca="1" si="8"/>
        <v>6339.9481371815536</v>
      </c>
      <c r="AF29" s="163">
        <f t="shared" si="9"/>
        <v>7891.1822976589838</v>
      </c>
      <c r="AG29" s="147"/>
      <c r="AH29" s="162">
        <f t="shared" si="10"/>
        <v>7891.1822976589838</v>
      </c>
      <c r="AJ29" s="165">
        <v>7891.1822976589838</v>
      </c>
      <c r="AK29" s="150">
        <v>6</v>
      </c>
      <c r="AL29" s="880">
        <f t="shared" si="11"/>
        <v>0</v>
      </c>
      <c r="AM29" s="881">
        <f t="shared" si="12"/>
        <v>0</v>
      </c>
    </row>
    <row r="30" spans="3:39" s="100" customFormat="1" ht="15" customHeight="1">
      <c r="C30" s="871" t="s">
        <v>197</v>
      </c>
      <c r="D30" s="872" t="s">
        <v>189</v>
      </c>
      <c r="E30" s="873" t="s">
        <v>191</v>
      </c>
      <c r="F30" s="874" t="s">
        <v>187</v>
      </c>
      <c r="G30" s="875">
        <f t="shared" ca="1" si="0"/>
        <v>965.64</v>
      </c>
      <c r="H30" s="876">
        <v>965.64</v>
      </c>
      <c r="I30" s="877">
        <f t="shared" ca="1" si="1"/>
        <v>0</v>
      </c>
      <c r="J30" s="875">
        <v>1201.9071986930176</v>
      </c>
      <c r="K30" s="876">
        <v>1201.9071986930176</v>
      </c>
      <c r="L30" s="877">
        <f t="shared" si="2"/>
        <v>0</v>
      </c>
      <c r="M30" s="875">
        <v>0</v>
      </c>
      <c r="N30" s="876">
        <v>0</v>
      </c>
      <c r="O30" s="877">
        <v>0</v>
      </c>
      <c r="P30" s="875">
        <f t="shared" ca="1" si="3"/>
        <v>2167.5471986930174</v>
      </c>
      <c r="Q30" s="876">
        <f t="shared" si="4"/>
        <v>2167.5471986930174</v>
      </c>
      <c r="R30" s="877">
        <f t="shared" ca="1" si="5"/>
        <v>0</v>
      </c>
      <c r="S30" s="878">
        <v>11</v>
      </c>
      <c r="T30" s="879"/>
      <c r="U30" s="146">
        <v>2.3199999999999998</v>
      </c>
      <c r="V30" s="98"/>
      <c r="W30" s="158">
        <f t="shared" ref="W30:W31" si="23">U30/U$56</f>
        <v>5.3970141665947973E-3</v>
      </c>
      <c r="X30" s="158"/>
      <c r="Y30" s="159">
        <f t="shared" ref="Y30:Y31" si="24">U30/S30</f>
        <v>0.21090909090909091</v>
      </c>
      <c r="Z30" s="160"/>
      <c r="AA30" s="159">
        <f t="shared" si="6"/>
        <v>0</v>
      </c>
      <c r="AB30" s="161">
        <f t="shared" si="7"/>
        <v>2.3199999999999998</v>
      </c>
      <c r="AC30" s="161"/>
      <c r="AD30" s="158"/>
      <c r="AE30" s="162">
        <f t="shared" ca="1" si="8"/>
        <v>10622.024343399333</v>
      </c>
      <c r="AF30" s="163">
        <f t="shared" si="9"/>
        <v>13220.979185623193</v>
      </c>
      <c r="AG30" s="147"/>
      <c r="AH30" s="162">
        <f t="shared" si="10"/>
        <v>13220.979185623193</v>
      </c>
      <c r="AJ30" s="165">
        <v>13220.979185623193</v>
      </c>
      <c r="AK30" s="150">
        <v>11</v>
      </c>
      <c r="AL30" s="880">
        <f t="shared" si="11"/>
        <v>0</v>
      </c>
      <c r="AM30" s="881">
        <f t="shared" si="12"/>
        <v>0</v>
      </c>
    </row>
    <row r="31" spans="3:39" s="100" customFormat="1" ht="15" customHeight="1">
      <c r="C31" s="871" t="s">
        <v>191</v>
      </c>
      <c r="D31" s="872" t="s">
        <v>189</v>
      </c>
      <c r="E31" s="873" t="s">
        <v>198</v>
      </c>
      <c r="F31" s="874" t="s">
        <v>187</v>
      </c>
      <c r="G31" s="875">
        <f t="shared" ca="1" si="0"/>
        <v>2576.5100000000002</v>
      </c>
      <c r="H31" s="876">
        <v>2576.5100000000002</v>
      </c>
      <c r="I31" s="877">
        <f t="shared" ca="1" si="1"/>
        <v>0</v>
      </c>
      <c r="J31" s="875">
        <v>3206.918833295204</v>
      </c>
      <c r="K31" s="876">
        <v>3206.918833295204</v>
      </c>
      <c r="L31" s="877">
        <f t="shared" si="2"/>
        <v>0</v>
      </c>
      <c r="M31" s="875">
        <v>0</v>
      </c>
      <c r="N31" s="876">
        <v>0</v>
      </c>
      <c r="O31" s="877">
        <v>0</v>
      </c>
      <c r="P31" s="875">
        <f t="shared" ca="1" si="3"/>
        <v>5783.4288332952037</v>
      </c>
      <c r="Q31" s="876">
        <f t="shared" si="4"/>
        <v>5783.4288332952037</v>
      </c>
      <c r="R31" s="877">
        <f t="shared" ca="1" si="5"/>
        <v>0</v>
      </c>
      <c r="S31" s="878">
        <v>51</v>
      </c>
      <c r="T31" s="879"/>
      <c r="U31" s="146">
        <v>28.7</v>
      </c>
      <c r="V31" s="98"/>
      <c r="W31" s="158">
        <f t="shared" si="23"/>
        <v>6.6764787319513227E-2</v>
      </c>
      <c r="X31" s="158"/>
      <c r="Y31" s="159">
        <f t="shared" si="24"/>
        <v>0.56274509803921569</v>
      </c>
      <c r="Z31" s="160">
        <v>5</v>
      </c>
      <c r="AA31" s="159">
        <f t="shared" si="6"/>
        <v>2.8137254901960782</v>
      </c>
      <c r="AB31" s="161">
        <f t="shared" si="7"/>
        <v>25.886274509803922</v>
      </c>
      <c r="AC31" s="161"/>
      <c r="AD31" s="158"/>
      <c r="AE31" s="162">
        <f t="shared" ca="1" si="8"/>
        <v>131401.76666187966</v>
      </c>
      <c r="AF31" s="163">
        <f t="shared" si="9"/>
        <v>147518.26633157939</v>
      </c>
      <c r="AG31" s="147"/>
      <c r="AH31" s="162">
        <f t="shared" si="10"/>
        <v>147518.26633157939</v>
      </c>
      <c r="AJ31" s="165">
        <v>163552.86049805541</v>
      </c>
      <c r="AK31" s="150">
        <v>51</v>
      </c>
      <c r="AL31" s="880">
        <f t="shared" si="11"/>
        <v>5</v>
      </c>
      <c r="AM31" s="881">
        <f t="shared" si="12"/>
        <v>16034.594166476019</v>
      </c>
    </row>
    <row r="32" spans="3:39" s="100" customFormat="1" ht="15" customHeight="1">
      <c r="C32" s="871" t="s">
        <v>192</v>
      </c>
      <c r="D32" s="872" t="s">
        <v>189</v>
      </c>
      <c r="E32" s="873" t="s">
        <v>191</v>
      </c>
      <c r="F32" s="874">
        <f t="shared" ref="F32:F34" si="25">F19</f>
        <v>52</v>
      </c>
      <c r="G32" s="875">
        <f t="shared" ca="1" si="0"/>
        <v>1163.1199999999999</v>
      </c>
      <c r="H32" s="876">
        <v>1163.1199999999999</v>
      </c>
      <c r="I32" s="877">
        <f t="shared" ca="1" si="1"/>
        <v>0</v>
      </c>
      <c r="J32" s="875">
        <v>1447.7067341163147</v>
      </c>
      <c r="K32" s="876">
        <v>1447.7067341163147</v>
      </c>
      <c r="L32" s="877">
        <f t="shared" si="2"/>
        <v>0</v>
      </c>
      <c r="M32" s="875">
        <v>0</v>
      </c>
      <c r="N32" s="876">
        <v>0</v>
      </c>
      <c r="O32" s="877">
        <v>0</v>
      </c>
      <c r="P32" s="875">
        <f t="shared" ca="1" si="3"/>
        <v>2610.8267341163146</v>
      </c>
      <c r="Q32" s="876">
        <f t="shared" si="4"/>
        <v>2610.8267341163146</v>
      </c>
      <c r="R32" s="877">
        <f t="shared" ca="1" si="5"/>
        <v>0</v>
      </c>
      <c r="S32" s="878">
        <v>62</v>
      </c>
      <c r="T32" s="879"/>
      <c r="U32" s="146">
        <v>39.86</v>
      </c>
      <c r="V32" s="98">
        <f t="shared" ref="V32:V38" si="26">+F32*S32</f>
        <v>3224</v>
      </c>
      <c r="W32" s="158">
        <f t="shared" ref="W32:W34" si="27">(V32/SUM(V$32:V$34))*U$32/U$56</f>
        <v>3.6640464232951496E-2</v>
      </c>
      <c r="X32" s="158"/>
      <c r="Y32" s="159">
        <f t="shared" ref="Y32:Y34" si="28">U$32*(V32/SUM(V$32:V$34))/S32</f>
        <v>0.25404093638926339</v>
      </c>
      <c r="Z32" s="160">
        <v>2</v>
      </c>
      <c r="AA32" s="159">
        <f t="shared" si="6"/>
        <v>0.50808187277852679</v>
      </c>
      <c r="AB32" s="161">
        <f t="shared" si="7"/>
        <v>15.242456183355802</v>
      </c>
      <c r="AC32" s="161"/>
      <c r="AD32" s="158"/>
      <c r="AE32" s="162">
        <f t="shared" ca="1" si="8"/>
        <v>72113.189074955371</v>
      </c>
      <c r="AF32" s="163">
        <f t="shared" si="9"/>
        <v>86862.404046978889</v>
      </c>
      <c r="AG32" s="147"/>
      <c r="AH32" s="162">
        <f t="shared" si="10"/>
        <v>86862.404046978889</v>
      </c>
      <c r="AJ32" s="165">
        <v>86862.404046978889</v>
      </c>
      <c r="AK32" s="150">
        <v>60</v>
      </c>
      <c r="AL32" s="880">
        <f t="shared" si="11"/>
        <v>0</v>
      </c>
      <c r="AM32" s="881">
        <f t="shared" si="12"/>
        <v>0</v>
      </c>
    </row>
    <row r="33" spans="3:39" s="100" customFormat="1" ht="15" customHeight="1">
      <c r="C33" s="882"/>
      <c r="D33" s="883" t="s">
        <v>189</v>
      </c>
      <c r="E33" s="855" t="s">
        <v>192</v>
      </c>
      <c r="F33" s="854">
        <f t="shared" si="25"/>
        <v>42</v>
      </c>
      <c r="G33" s="884">
        <f t="shared" ca="1" si="0"/>
        <v>939.44</v>
      </c>
      <c r="H33" s="885">
        <v>939.44</v>
      </c>
      <c r="I33" s="886">
        <f t="shared" ca="1" si="1"/>
        <v>0</v>
      </c>
      <c r="J33" s="884">
        <v>1169.3002415244353</v>
      </c>
      <c r="K33" s="885">
        <v>1169.3002415244353</v>
      </c>
      <c r="L33" s="886">
        <f t="shared" si="2"/>
        <v>0</v>
      </c>
      <c r="M33" s="884">
        <v>0</v>
      </c>
      <c r="N33" s="885">
        <v>0</v>
      </c>
      <c r="O33" s="886">
        <v>0</v>
      </c>
      <c r="P33" s="884">
        <f t="shared" ca="1" si="3"/>
        <v>2108.7402415244351</v>
      </c>
      <c r="Q33" s="885">
        <f t="shared" si="4"/>
        <v>2108.7402415244351</v>
      </c>
      <c r="R33" s="886">
        <f t="shared" ca="1" si="5"/>
        <v>0</v>
      </c>
      <c r="S33" s="887">
        <v>85</v>
      </c>
      <c r="T33" s="888"/>
      <c r="U33" s="146"/>
      <c r="V33" s="98">
        <f t="shared" si="26"/>
        <v>3570</v>
      </c>
      <c r="W33" s="158">
        <f t="shared" si="27"/>
        <v>4.0572722491202494E-2</v>
      </c>
      <c r="X33" s="158"/>
      <c r="Y33" s="159">
        <f t="shared" si="28"/>
        <v>0.20518691016055887</v>
      </c>
      <c r="Z33" s="160">
        <v>1</v>
      </c>
      <c r="AA33" s="159">
        <f t="shared" si="6"/>
        <v>0.20518691016055887</v>
      </c>
      <c r="AB33" s="161">
        <f t="shared" si="7"/>
        <v>17.235700453486945</v>
      </c>
      <c r="AC33" s="161"/>
      <c r="AD33" s="158"/>
      <c r="AE33" s="162">
        <f t="shared" ca="1" si="8"/>
        <v>79852.383684116227</v>
      </c>
      <c r="AF33" s="163">
        <f t="shared" si="9"/>
        <v>98221.220288052558</v>
      </c>
      <c r="AG33" s="147"/>
      <c r="AH33" s="162">
        <f t="shared" si="10"/>
        <v>98221.220288052558</v>
      </c>
      <c r="AJ33" s="165">
        <v>99390.520529576999</v>
      </c>
      <c r="AK33" s="150">
        <v>85</v>
      </c>
      <c r="AL33" s="880">
        <f t="shared" si="11"/>
        <v>1</v>
      </c>
      <c r="AM33" s="881">
        <f t="shared" si="12"/>
        <v>1169.3002415244353</v>
      </c>
    </row>
    <row r="34" spans="3:39" s="100" customFormat="1" ht="15" customHeight="1">
      <c r="C34" s="889"/>
      <c r="D34" s="890" t="s">
        <v>189</v>
      </c>
      <c r="E34" s="840" t="s">
        <v>193</v>
      </c>
      <c r="F34" s="839">
        <f t="shared" si="25"/>
        <v>35</v>
      </c>
      <c r="G34" s="891">
        <f t="shared" ca="1" si="0"/>
        <v>782.87</v>
      </c>
      <c r="H34" s="892">
        <v>782.87</v>
      </c>
      <c r="I34" s="893">
        <f t="shared" ca="1" si="1"/>
        <v>0</v>
      </c>
      <c r="J34" s="891">
        <v>974.41393986975481</v>
      </c>
      <c r="K34" s="892">
        <v>974.41393986975481</v>
      </c>
      <c r="L34" s="893">
        <f t="shared" si="2"/>
        <v>0</v>
      </c>
      <c r="M34" s="891">
        <v>0</v>
      </c>
      <c r="N34" s="892">
        <v>0</v>
      </c>
      <c r="O34" s="893">
        <v>0</v>
      </c>
      <c r="P34" s="891">
        <f t="shared" ca="1" si="3"/>
        <v>1757.2839398697547</v>
      </c>
      <c r="Q34" s="892">
        <f t="shared" si="4"/>
        <v>1757.2839398697547</v>
      </c>
      <c r="R34" s="893">
        <f t="shared" ca="1" si="5"/>
        <v>0</v>
      </c>
      <c r="S34" s="894">
        <v>39</v>
      </c>
      <c r="T34" s="895"/>
      <c r="U34" s="146"/>
      <c r="V34" s="98">
        <f t="shared" si="26"/>
        <v>1365</v>
      </c>
      <c r="W34" s="158">
        <f t="shared" si="27"/>
        <v>1.5513099776048011E-2</v>
      </c>
      <c r="X34" s="158"/>
      <c r="Y34" s="159">
        <f t="shared" si="28"/>
        <v>0.17098909180046573</v>
      </c>
      <c r="Z34" s="160">
        <v>3</v>
      </c>
      <c r="AA34" s="159">
        <f t="shared" si="6"/>
        <v>0.51296727540139719</v>
      </c>
      <c r="AB34" s="161">
        <f t="shared" si="7"/>
        <v>6.1556073048167663</v>
      </c>
      <c r="AC34" s="161"/>
      <c r="AD34" s="158"/>
      <c r="AE34" s="162">
        <f t="shared" ca="1" si="8"/>
        <v>30531.793761573848</v>
      </c>
      <c r="AF34" s="163">
        <f t="shared" si="9"/>
        <v>35078.901835311175</v>
      </c>
      <c r="AG34" s="147"/>
      <c r="AH34" s="162">
        <f t="shared" si="10"/>
        <v>35078.901835311175</v>
      </c>
      <c r="AJ34" s="165">
        <v>36053.315775180927</v>
      </c>
      <c r="AK34" s="150">
        <v>37</v>
      </c>
      <c r="AL34" s="880">
        <f t="shared" si="11"/>
        <v>1</v>
      </c>
      <c r="AM34" s="881">
        <f t="shared" si="12"/>
        <v>974.41393986975481</v>
      </c>
    </row>
    <row r="35" spans="3:39" s="100" customFormat="1" ht="15" customHeight="1">
      <c r="C35" s="896" t="s">
        <v>199</v>
      </c>
      <c r="D35" s="883" t="s">
        <v>189</v>
      </c>
      <c r="E35" s="855" t="s">
        <v>193</v>
      </c>
      <c r="F35" s="854">
        <v>35</v>
      </c>
      <c r="G35" s="884">
        <f t="shared" ref="G35:G39" ca="1" si="29">AE35/S35</f>
        <v>875.00799931335155</v>
      </c>
      <c r="H35" s="885">
        <v>875.00963262237906</v>
      </c>
      <c r="I35" s="886">
        <f t="shared" ca="1" si="1"/>
        <v>-1.8666183395217615E-6</v>
      </c>
      <c r="J35" s="884">
        <v>1073.5411223447586</v>
      </c>
      <c r="K35" s="885">
        <v>1073.5411223447586</v>
      </c>
      <c r="L35" s="886">
        <f t="shared" si="2"/>
        <v>0</v>
      </c>
      <c r="M35" s="884">
        <v>0</v>
      </c>
      <c r="N35" s="885">
        <v>0</v>
      </c>
      <c r="O35" s="886">
        <v>0</v>
      </c>
      <c r="P35" s="884">
        <f t="shared" ca="1" si="3"/>
        <v>1948.5491216581102</v>
      </c>
      <c r="Q35" s="885">
        <f t="shared" si="4"/>
        <v>1948.5507549671377</v>
      </c>
      <c r="R35" s="886">
        <f t="shared" ca="1" si="5"/>
        <v>-8.3821733837191097E-7</v>
      </c>
      <c r="S35" s="887">
        <v>39</v>
      </c>
      <c r="T35" s="888"/>
      <c r="U35" s="100">
        <v>20.339999999999996</v>
      </c>
      <c r="V35" s="98">
        <f t="shared" si="26"/>
        <v>1365</v>
      </c>
      <c r="W35" s="158">
        <f t="shared" ref="W35:W38" si="30">(V35/SUM(V$35:V$38))*U$35/U$56</f>
        <v>1.7338954064192849E-2</v>
      </c>
      <c r="X35" s="175"/>
      <c r="Y35" s="159">
        <f t="shared" ref="Y35:Y38" si="31">U$35*(V35/SUM(V$35:V$38))/S35</f>
        <v>0.19111409395973153</v>
      </c>
      <c r="Z35" s="98"/>
      <c r="AA35" s="159">
        <f t="shared" si="6"/>
        <v>0</v>
      </c>
      <c r="AB35" s="161">
        <f t="shared" si="7"/>
        <v>7.4534496644295301</v>
      </c>
      <c r="AC35" s="161"/>
      <c r="AD35" s="175"/>
      <c r="AE35" s="162">
        <f t="shared" ca="1" si="8"/>
        <v>34125.311973220712</v>
      </c>
      <c r="AF35" s="163">
        <f t="shared" si="9"/>
        <v>41868.103771445589</v>
      </c>
      <c r="AG35" s="176"/>
      <c r="AH35" s="162">
        <f t="shared" si="10"/>
        <v>41868.103771445589</v>
      </c>
      <c r="AI35" s="147"/>
      <c r="AJ35" s="165">
        <v>41868.103771445582</v>
      </c>
      <c r="AK35" s="150">
        <v>39</v>
      </c>
      <c r="AL35" s="880">
        <f t="shared" si="11"/>
        <v>0</v>
      </c>
      <c r="AM35" s="881">
        <f t="shared" si="12"/>
        <v>0</v>
      </c>
    </row>
    <row r="36" spans="3:39" s="100" customFormat="1" ht="15" customHeight="1">
      <c r="C36" s="896"/>
      <c r="D36" s="883" t="s">
        <v>189</v>
      </c>
      <c r="E36" s="855" t="s">
        <v>192</v>
      </c>
      <c r="F36" s="854">
        <v>40</v>
      </c>
      <c r="G36" s="884">
        <f t="shared" ca="1" si="29"/>
        <v>1000.0091420724018</v>
      </c>
      <c r="H36" s="885">
        <v>1000.0110087112902</v>
      </c>
      <c r="I36" s="886">
        <f t="shared" ca="1" si="1"/>
        <v>-1.8666183393106315E-6</v>
      </c>
      <c r="J36" s="884">
        <v>1288.2492543916665</v>
      </c>
      <c r="K36" s="885">
        <v>1288.2492543916665</v>
      </c>
      <c r="L36" s="886">
        <f t="shared" si="2"/>
        <v>0</v>
      </c>
      <c r="M36" s="884">
        <v>0</v>
      </c>
      <c r="N36" s="885">
        <v>0</v>
      </c>
      <c r="O36" s="886">
        <v>0</v>
      </c>
      <c r="P36" s="884">
        <f t="shared" ca="1" si="3"/>
        <v>2288.258396464068</v>
      </c>
      <c r="Q36" s="885">
        <f t="shared" si="4"/>
        <v>2288.2602631029567</v>
      </c>
      <c r="R36" s="886">
        <f t="shared" ca="1" si="5"/>
        <v>-8.1574588293678368E-7</v>
      </c>
      <c r="S36" s="887">
        <v>14</v>
      </c>
      <c r="T36" s="888"/>
      <c r="V36" s="98">
        <f t="shared" si="26"/>
        <v>560</v>
      </c>
      <c r="W36" s="158">
        <f t="shared" si="30"/>
        <v>7.1134170519765528E-3</v>
      </c>
      <c r="X36" s="175"/>
      <c r="Y36" s="159">
        <f t="shared" si="31"/>
        <v>0.2184161073825503</v>
      </c>
      <c r="Z36" s="98"/>
      <c r="AA36" s="159"/>
      <c r="AB36" s="161">
        <f t="shared" si="7"/>
        <v>3.057825503355704</v>
      </c>
      <c r="AC36" s="161"/>
      <c r="AD36" s="175"/>
      <c r="AE36" s="162">
        <f t="shared" ca="1" si="8"/>
        <v>14000.127989013625</v>
      </c>
      <c r="AF36" s="163">
        <f t="shared" si="9"/>
        <v>18035.489561483329</v>
      </c>
      <c r="AG36" s="176"/>
      <c r="AH36" s="162">
        <f t="shared" si="10"/>
        <v>18035.489561483329</v>
      </c>
      <c r="AJ36" s="165">
        <v>18035.489561483329</v>
      </c>
      <c r="AK36" s="150">
        <v>14</v>
      </c>
      <c r="AL36" s="880">
        <f t="shared" si="11"/>
        <v>0</v>
      </c>
      <c r="AM36" s="881">
        <f t="shared" si="12"/>
        <v>0</v>
      </c>
    </row>
    <row r="37" spans="3:39" s="100" customFormat="1" ht="15" customHeight="1">
      <c r="C37" s="896"/>
      <c r="D37" s="883" t="s">
        <v>189</v>
      </c>
      <c r="E37" s="855" t="s">
        <v>191</v>
      </c>
      <c r="F37" s="854">
        <v>50</v>
      </c>
      <c r="G37" s="884">
        <f t="shared" ca="1" si="29"/>
        <v>1250.0114275905023</v>
      </c>
      <c r="H37" s="885">
        <v>1250.013760889113</v>
      </c>
      <c r="I37" s="886">
        <f t="shared" ca="1" si="1"/>
        <v>-1.8666183394697909E-6</v>
      </c>
      <c r="J37" s="884">
        <v>1594.9752722321182</v>
      </c>
      <c r="K37" s="885">
        <v>1594.9752722321182</v>
      </c>
      <c r="L37" s="886">
        <f t="shared" si="2"/>
        <v>0</v>
      </c>
      <c r="M37" s="884">
        <v>0</v>
      </c>
      <c r="N37" s="885">
        <v>0</v>
      </c>
      <c r="O37" s="886">
        <v>0</v>
      </c>
      <c r="P37" s="884">
        <f t="shared" ca="1" si="3"/>
        <v>2844.9866998226207</v>
      </c>
      <c r="Q37" s="885">
        <f t="shared" si="4"/>
        <v>2844.9890331212309</v>
      </c>
      <c r="R37" s="886">
        <f t="shared" ca="1" si="5"/>
        <v>-8.2014327051750371E-7</v>
      </c>
      <c r="S37" s="887">
        <v>13</v>
      </c>
      <c r="T37" s="888"/>
      <c r="V37" s="98">
        <f t="shared" si="26"/>
        <v>650</v>
      </c>
      <c r="W37" s="158">
        <f t="shared" si="30"/>
        <v>8.2566447924727858E-3</v>
      </c>
      <c r="X37" s="175"/>
      <c r="Y37" s="159">
        <f t="shared" si="31"/>
        <v>0.27302013422818788</v>
      </c>
      <c r="Z37" s="98"/>
      <c r="AA37" s="159"/>
      <c r="AB37" s="161">
        <f t="shared" si="7"/>
        <v>3.5492617449664423</v>
      </c>
      <c r="AC37" s="161"/>
      <c r="AD37" s="175"/>
      <c r="AE37" s="162">
        <f t="shared" ca="1" si="8"/>
        <v>16250.14855867653</v>
      </c>
      <c r="AF37" s="163">
        <f t="shared" si="9"/>
        <v>20734.678539017536</v>
      </c>
      <c r="AG37" s="176"/>
      <c r="AH37" s="162">
        <f t="shared" si="10"/>
        <v>20734.678539017536</v>
      </c>
      <c r="AJ37" s="165">
        <v>20734.678539017536</v>
      </c>
      <c r="AK37" s="150">
        <v>13</v>
      </c>
      <c r="AL37" s="880">
        <f t="shared" si="11"/>
        <v>0</v>
      </c>
      <c r="AM37" s="165">
        <f t="shared" si="12"/>
        <v>0</v>
      </c>
    </row>
    <row r="38" spans="3:39" s="100" customFormat="1" ht="15" customHeight="1">
      <c r="C38" s="896"/>
      <c r="D38" s="883" t="s">
        <v>200</v>
      </c>
      <c r="E38" s="855" t="s">
        <v>201</v>
      </c>
      <c r="F38" s="854">
        <v>25</v>
      </c>
      <c r="G38" s="884">
        <f t="shared" ca="1" si="29"/>
        <v>625.00571379525104</v>
      </c>
      <c r="H38" s="885">
        <v>625.00688044455649</v>
      </c>
      <c r="I38" s="886">
        <f t="shared" ca="1" si="1"/>
        <v>-1.8666183396516879E-6</v>
      </c>
      <c r="J38" s="884">
        <v>766.81511045741718</v>
      </c>
      <c r="K38" s="885">
        <v>766.81511045741718</v>
      </c>
      <c r="L38" s="886">
        <f t="shared" si="2"/>
        <v>0</v>
      </c>
      <c r="M38" s="884">
        <v>0</v>
      </c>
      <c r="N38" s="885">
        <v>0</v>
      </c>
      <c r="O38" s="886">
        <v>0</v>
      </c>
      <c r="P38" s="884">
        <f t="shared" ca="1" si="3"/>
        <v>1391.8208242526682</v>
      </c>
      <c r="Q38" s="885">
        <f t="shared" si="4"/>
        <v>1391.8219909019735</v>
      </c>
      <c r="R38" s="886">
        <f t="shared" ca="1" si="5"/>
        <v>-8.382173244558108E-7</v>
      </c>
      <c r="S38" s="887">
        <v>46</v>
      </c>
      <c r="T38" s="888"/>
      <c r="V38" s="98">
        <f t="shared" si="26"/>
        <v>1150</v>
      </c>
      <c r="W38" s="158">
        <f t="shared" si="30"/>
        <v>1.4607910017451851E-2</v>
      </c>
      <c r="X38" s="175"/>
      <c r="Y38" s="159">
        <f t="shared" si="31"/>
        <v>0.13651006711409394</v>
      </c>
      <c r="Z38" s="98"/>
      <c r="AA38" s="159"/>
      <c r="AB38" s="161">
        <f t="shared" si="7"/>
        <v>6.2794630872483213</v>
      </c>
      <c r="AC38" s="161"/>
      <c r="AD38" s="175"/>
      <c r="AE38" s="162">
        <f t="shared" ca="1" si="8"/>
        <v>28750.26283458155</v>
      </c>
      <c r="AF38" s="163">
        <f t="shared" si="9"/>
        <v>35273.49508104119</v>
      </c>
      <c r="AG38" s="176"/>
      <c r="AH38" s="162">
        <f t="shared" si="10"/>
        <v>35273.49508104119</v>
      </c>
      <c r="AJ38" s="177">
        <v>35273.49508104119</v>
      </c>
      <c r="AK38" s="897">
        <v>46</v>
      </c>
      <c r="AL38" s="898">
        <f t="shared" si="11"/>
        <v>0</v>
      </c>
      <c r="AM38" s="177">
        <f t="shared" si="12"/>
        <v>0</v>
      </c>
    </row>
    <row r="39" spans="3:39" s="100" customFormat="1" ht="15" customHeight="1">
      <c r="C39" s="899" t="s">
        <v>202</v>
      </c>
      <c r="D39" s="900"/>
      <c r="E39" s="901" t="s">
        <v>186</v>
      </c>
      <c r="F39" s="902">
        <v>50</v>
      </c>
      <c r="G39" s="903">
        <f t="shared" ca="1" si="29"/>
        <v>1271.9181798919094</v>
      </c>
      <c r="H39" s="904">
        <v>0</v>
      </c>
      <c r="I39" s="905" t="s">
        <v>203</v>
      </c>
      <c r="J39" s="903">
        <v>1592.8886222106896</v>
      </c>
      <c r="K39" s="904">
        <v>0</v>
      </c>
      <c r="L39" s="905" t="s">
        <v>203</v>
      </c>
      <c r="M39" s="903">
        <v>0</v>
      </c>
      <c r="N39" s="904">
        <v>0</v>
      </c>
      <c r="O39" s="905">
        <v>0</v>
      </c>
      <c r="P39" s="903">
        <f t="shared" ca="1" si="3"/>
        <v>2864.8068021025992</v>
      </c>
      <c r="Q39" s="904">
        <f t="shared" si="4"/>
        <v>0</v>
      </c>
      <c r="R39" s="905" t="s">
        <v>203</v>
      </c>
      <c r="S39" s="906">
        <f>40+66</f>
        <v>106</v>
      </c>
      <c r="T39" s="907">
        <f>U39</f>
        <v>29.447317073170733</v>
      </c>
      <c r="U39" s="100">
        <f>U61*(66+40)</f>
        <v>29.447317073170733</v>
      </c>
      <c r="V39" s="98"/>
      <c r="W39" s="175">
        <f>U39/U$56</f>
        <v>6.8503270436254871E-2</v>
      </c>
      <c r="X39" s="175"/>
      <c r="Y39" s="159"/>
      <c r="Z39" s="98"/>
      <c r="AA39" s="159">
        <f>Y39*Z39</f>
        <v>0</v>
      </c>
      <c r="AB39" s="161">
        <f>U39</f>
        <v>29.447317073170733</v>
      </c>
      <c r="AC39" s="161"/>
      <c r="AD39" s="175"/>
      <c r="AE39" s="162">
        <f t="shared" ca="1" si="8"/>
        <v>134823.32706854239</v>
      </c>
      <c r="AF39" s="163">
        <f t="shared" si="9"/>
        <v>168846.19395433311</v>
      </c>
      <c r="AG39" s="176"/>
      <c r="AH39" s="162">
        <f t="shared" si="10"/>
        <v>168846.19395433311</v>
      </c>
      <c r="AK39" s="150"/>
    </row>
    <row r="40" spans="3:39" s="100" customFormat="1" ht="15" customHeight="1">
      <c r="C40" s="899" t="s">
        <v>579</v>
      </c>
      <c r="D40" s="900"/>
      <c r="E40" s="901"/>
      <c r="F40" s="902">
        <v>40</v>
      </c>
      <c r="G40" s="903">
        <f t="shared" ref="G40:G42" ca="1" si="32">G50/0.94</f>
        <v>1276.3210171090498</v>
      </c>
      <c r="H40" s="908">
        <v>0</v>
      </c>
      <c r="I40" s="905">
        <v>0</v>
      </c>
      <c r="J40" s="908">
        <v>0</v>
      </c>
      <c r="K40" s="908">
        <v>0</v>
      </c>
      <c r="L40" s="905">
        <v>0</v>
      </c>
      <c r="M40" s="908">
        <f t="shared" ref="M40:M42" si="33">M47/0.94</f>
        <v>1534.7314745333958</v>
      </c>
      <c r="N40" s="908">
        <v>0</v>
      </c>
      <c r="O40" s="905">
        <v>0</v>
      </c>
      <c r="P40" s="903">
        <f t="shared" ref="P40:P42" ca="1" si="34">G40+M40</f>
        <v>2811.0524916424456</v>
      </c>
      <c r="Q40" s="908">
        <v>0</v>
      </c>
      <c r="R40" s="905">
        <v>0</v>
      </c>
      <c r="S40" s="906">
        <f t="shared" ref="S40:S42" si="35">G61</f>
        <v>84</v>
      </c>
      <c r="T40" s="907"/>
      <c r="V40" s="98"/>
      <c r="W40" s="175"/>
      <c r="X40" s="175"/>
      <c r="Y40" s="159"/>
      <c r="Z40" s="98"/>
      <c r="AA40" s="159"/>
      <c r="AB40" s="161"/>
      <c r="AC40" s="161"/>
      <c r="AD40" s="175"/>
      <c r="AE40" s="162">
        <f t="shared" ref="AE40:AE42" ca="1" si="36">S40*G40</f>
        <v>107210.96543716018</v>
      </c>
      <c r="AF40" s="163"/>
      <c r="AG40" s="176">
        <f t="shared" ref="AG40:AG42" si="37">M40*S40</f>
        <v>128917.44386080524</v>
      </c>
      <c r="AH40" s="162">
        <f t="shared" ref="AH40:AH42" ca="1" si="38">SUM(AE40:AG40)</f>
        <v>236128.40929796541</v>
      </c>
      <c r="AK40" s="150"/>
    </row>
    <row r="41" spans="3:39" s="100" customFormat="1" ht="15" customHeight="1">
      <c r="C41" s="909"/>
      <c r="D41" s="181"/>
      <c r="E41" s="182"/>
      <c r="F41" s="183">
        <v>50</v>
      </c>
      <c r="G41" s="184">
        <f t="shared" ca="1" si="32"/>
        <v>1595.4012713863119</v>
      </c>
      <c r="H41" s="220">
        <v>0</v>
      </c>
      <c r="I41" s="186">
        <v>0</v>
      </c>
      <c r="J41" s="220">
        <v>0</v>
      </c>
      <c r="K41" s="220">
        <v>0</v>
      </c>
      <c r="L41" s="186">
        <v>0</v>
      </c>
      <c r="M41" s="220">
        <f t="shared" si="33"/>
        <v>1918.4143431667449</v>
      </c>
      <c r="N41" s="220">
        <v>0</v>
      </c>
      <c r="O41" s="186">
        <v>0</v>
      </c>
      <c r="P41" s="184">
        <f t="shared" ca="1" si="34"/>
        <v>3513.8156145530565</v>
      </c>
      <c r="Q41" s="220">
        <v>0</v>
      </c>
      <c r="R41" s="186">
        <v>0</v>
      </c>
      <c r="S41" s="910">
        <f t="shared" si="35"/>
        <v>66</v>
      </c>
      <c r="T41" s="911"/>
      <c r="V41" s="98"/>
      <c r="W41" s="175"/>
      <c r="X41" s="175"/>
      <c r="Y41" s="159"/>
      <c r="Z41" s="98"/>
      <c r="AA41" s="159"/>
      <c r="AB41" s="161"/>
      <c r="AC41" s="161"/>
      <c r="AD41" s="175"/>
      <c r="AE41" s="162">
        <f t="shared" ca="1" si="36"/>
        <v>105296.48391149659</v>
      </c>
      <c r="AF41" s="163"/>
      <c r="AG41" s="176">
        <f t="shared" si="37"/>
        <v>126615.34664900517</v>
      </c>
      <c r="AH41" s="162">
        <f t="shared" ca="1" si="38"/>
        <v>231911.83056050175</v>
      </c>
      <c r="AK41" s="150"/>
    </row>
    <row r="42" spans="3:39" s="100" customFormat="1" ht="15" customHeight="1">
      <c r="C42" s="909"/>
      <c r="D42" s="181"/>
      <c r="E42" s="182"/>
      <c r="F42" s="183">
        <v>60</v>
      </c>
      <c r="G42" s="184">
        <f t="shared" ca="1" si="32"/>
        <v>1914.4815256635743</v>
      </c>
      <c r="H42" s="220">
        <v>0</v>
      </c>
      <c r="I42" s="186">
        <v>0</v>
      </c>
      <c r="J42" s="220">
        <v>0</v>
      </c>
      <c r="K42" s="220">
        <v>0</v>
      </c>
      <c r="L42" s="186">
        <v>0</v>
      </c>
      <c r="M42" s="220">
        <f t="shared" si="33"/>
        <v>2302.0972118000941</v>
      </c>
      <c r="N42" s="220">
        <v>0</v>
      </c>
      <c r="O42" s="186">
        <v>0</v>
      </c>
      <c r="P42" s="184">
        <f t="shared" ca="1" si="34"/>
        <v>4216.5787374636684</v>
      </c>
      <c r="Q42" s="220">
        <v>0</v>
      </c>
      <c r="R42" s="186">
        <v>0</v>
      </c>
      <c r="S42" s="910">
        <f t="shared" si="35"/>
        <v>22</v>
      </c>
      <c r="T42" s="911"/>
      <c r="V42" s="98"/>
      <c r="W42" s="175"/>
      <c r="X42" s="175"/>
      <c r="Y42" s="159"/>
      <c r="Z42" s="98"/>
      <c r="AA42" s="159"/>
      <c r="AB42" s="161"/>
      <c r="AC42" s="161"/>
      <c r="AD42" s="175"/>
      <c r="AE42" s="162">
        <f t="shared" ca="1" si="36"/>
        <v>42118.593564598632</v>
      </c>
      <c r="AF42" s="163"/>
      <c r="AG42" s="176">
        <f t="shared" si="37"/>
        <v>50646.138659602067</v>
      </c>
      <c r="AH42" s="162">
        <f t="shared" ca="1" si="38"/>
        <v>92764.732224200707</v>
      </c>
      <c r="AK42" s="150"/>
    </row>
    <row r="43" spans="3:39" s="100" customFormat="1" ht="15" customHeight="1">
      <c r="C43" s="912" t="s">
        <v>204</v>
      </c>
      <c r="D43" s="874"/>
      <c r="E43" s="873" t="s">
        <v>204</v>
      </c>
      <c r="F43" s="874"/>
      <c r="G43" s="875">
        <f ca="1">AE43</f>
        <v>1281.9684552378508</v>
      </c>
      <c r="H43" s="876">
        <v>1281.9708481881464</v>
      </c>
      <c r="I43" s="877">
        <f ca="1">(+G43-H43)/H43</f>
        <v>-1.8666183392746396E-6</v>
      </c>
      <c r="J43" s="875">
        <v>0</v>
      </c>
      <c r="K43" s="876">
        <v>0</v>
      </c>
      <c r="L43" s="877" t="s">
        <v>203</v>
      </c>
      <c r="M43" s="875">
        <v>1541.5219199499609</v>
      </c>
      <c r="N43" s="876">
        <v>1541.5219199499609</v>
      </c>
      <c r="O43" s="877">
        <f t="shared" ref="O43:O44" si="39">(+M43-N43)/N43</f>
        <v>0</v>
      </c>
      <c r="P43" s="875">
        <f t="shared" ref="P43:P44" ca="1" si="40">M43+G43</f>
        <v>2823.4903751878119</v>
      </c>
      <c r="Q43" s="876">
        <f t="shared" ref="Q43:Q44" si="41">N43+H43</f>
        <v>2823.4927681381073</v>
      </c>
      <c r="R43" s="877">
        <f t="shared" ref="R43:R44" ca="1" si="42">(+P43-Q43)/Q43</f>
        <v>-8.4751422862473485E-7</v>
      </c>
      <c r="S43" s="878"/>
      <c r="T43" s="879">
        <f>U43</f>
        <v>0.28000000000000003</v>
      </c>
      <c r="U43" s="146">
        <v>0.28000000000000003</v>
      </c>
      <c r="V43" s="98"/>
      <c r="W43" s="175">
        <f>U43/U$56</f>
        <v>6.5136377872695842E-4</v>
      </c>
      <c r="X43" s="175"/>
      <c r="Y43" s="159"/>
      <c r="Z43" s="98"/>
      <c r="AA43" s="159">
        <f t="shared" ref="AA43:AA44" si="43">Y43*Z43</f>
        <v>0</v>
      </c>
      <c r="AB43" s="161">
        <f t="shared" ref="AB43:AB44" si="44">U43</f>
        <v>0.28000000000000003</v>
      </c>
      <c r="AC43" s="161">
        <f>AB43</f>
        <v>0.28000000000000003</v>
      </c>
      <c r="AD43" s="175"/>
      <c r="AE43" s="162">
        <f ca="1">AF$6*W43/0.94</f>
        <v>1281.9684552378508</v>
      </c>
      <c r="AF43" s="163"/>
      <c r="AG43" s="176">
        <f t="shared" ref="AG43:AG44" si="45">M43</f>
        <v>1541.5219199499609</v>
      </c>
      <c r="AH43" s="162">
        <f>SUM(AF43:AG43)</f>
        <v>1541.5219199499609</v>
      </c>
      <c r="AI43" s="199"/>
      <c r="AJ43" s="165">
        <f>SUM(AJ11:AJ38)</f>
        <v>1030920.512841157</v>
      </c>
      <c r="AK43" s="150">
        <f>SUM(AK11:AK38)</f>
        <v>857</v>
      </c>
      <c r="AL43" s="880">
        <f>SUM(AL11:AL38)</f>
        <v>11</v>
      </c>
      <c r="AM43" s="165">
        <f>SUM(AM11:AM38)</f>
        <v>23539.939183242539</v>
      </c>
    </row>
    <row r="44" spans="3:39" s="100" customFormat="1" ht="15" customHeight="1">
      <c r="C44" s="913" t="s">
        <v>205</v>
      </c>
      <c r="D44" s="914"/>
      <c r="E44" s="915" t="s">
        <v>206</v>
      </c>
      <c r="F44" s="914"/>
      <c r="G44" s="916">
        <v>0</v>
      </c>
      <c r="H44" s="917">
        <v>0</v>
      </c>
      <c r="I44" s="918" t="s">
        <v>203</v>
      </c>
      <c r="J44" s="916">
        <v>0</v>
      </c>
      <c r="K44" s="917">
        <v>0</v>
      </c>
      <c r="L44" s="918" t="s">
        <v>203</v>
      </c>
      <c r="M44" s="916">
        <v>52624.276139332957</v>
      </c>
      <c r="N44" s="917">
        <v>52624.276139332957</v>
      </c>
      <c r="O44" s="918">
        <f t="shared" si="39"/>
        <v>0</v>
      </c>
      <c r="P44" s="916">
        <f t="shared" si="40"/>
        <v>52624.276139332957</v>
      </c>
      <c r="Q44" s="917">
        <f t="shared" si="41"/>
        <v>52624.276139332957</v>
      </c>
      <c r="R44" s="918">
        <f t="shared" si="42"/>
        <v>0</v>
      </c>
      <c r="S44" s="919"/>
      <c r="T44" s="920"/>
      <c r="U44" s="146"/>
      <c r="V44" s="98"/>
      <c r="W44" s="175"/>
      <c r="X44" s="175"/>
      <c r="Y44" s="159"/>
      <c r="Z44" s="98"/>
      <c r="AA44" s="159">
        <f t="shared" si="43"/>
        <v>0</v>
      </c>
      <c r="AB44" s="161">
        <f t="shared" si="44"/>
        <v>0</v>
      </c>
      <c r="AC44" s="161"/>
      <c r="AD44" s="175"/>
      <c r="AE44" s="147"/>
      <c r="AG44" s="199">
        <f t="shared" si="45"/>
        <v>52624.276139332957</v>
      </c>
      <c r="AH44" s="162"/>
      <c r="AI44" s="146"/>
      <c r="AJ44" s="115" t="s">
        <v>580</v>
      </c>
      <c r="AK44" s="114" t="s">
        <v>207</v>
      </c>
    </row>
    <row r="45" spans="3:39" s="100" customFormat="1" ht="15" customHeight="1">
      <c r="C45" s="921" t="s">
        <v>208</v>
      </c>
      <c r="D45" s="922"/>
      <c r="E45" s="923"/>
      <c r="F45" s="924"/>
      <c r="G45" s="925"/>
      <c r="H45" s="926"/>
      <c r="I45" s="867"/>
      <c r="J45" s="925"/>
      <c r="K45" s="926"/>
      <c r="L45" s="867"/>
      <c r="M45" s="925"/>
      <c r="N45" s="926"/>
      <c r="O45" s="867"/>
      <c r="P45" s="925"/>
      <c r="Q45" s="926"/>
      <c r="R45" s="867"/>
      <c r="S45" s="927"/>
      <c r="T45" s="928"/>
      <c r="U45" s="146"/>
      <c r="V45" s="98"/>
      <c r="W45" s="146"/>
      <c r="X45" s="146"/>
      <c r="Y45" s="159"/>
      <c r="Z45" s="208"/>
      <c r="AA45" s="159"/>
      <c r="AB45" s="161"/>
      <c r="AC45" s="161"/>
      <c r="AD45" s="146"/>
      <c r="AE45" s="209"/>
      <c r="AF45" s="209"/>
      <c r="AG45" s="176"/>
      <c r="AH45" s="162"/>
      <c r="AI45" s="146"/>
      <c r="AJ45" s="115" t="s">
        <v>581</v>
      </c>
      <c r="AK45" s="114" t="s">
        <v>210</v>
      </c>
    </row>
    <row r="46" spans="3:39" s="100" customFormat="1" ht="15" customHeight="1">
      <c r="C46" s="899" t="s">
        <v>211</v>
      </c>
      <c r="D46" s="900"/>
      <c r="E46" s="901" t="s">
        <v>186</v>
      </c>
      <c r="F46" s="902"/>
      <c r="G46" s="903">
        <f ca="1">AE46/$S46</f>
        <v>1195.4040089315802</v>
      </c>
      <c r="H46" s="904">
        <v>0</v>
      </c>
      <c r="I46" s="905" t="s">
        <v>203</v>
      </c>
      <c r="J46" s="903">
        <v>1497.3153048780489</v>
      </c>
      <c r="K46" s="904">
        <v>0</v>
      </c>
      <c r="L46" s="905" t="s">
        <v>203</v>
      </c>
      <c r="M46" s="929">
        <v>0</v>
      </c>
      <c r="N46" s="904">
        <v>0</v>
      </c>
      <c r="O46" s="905">
        <v>0</v>
      </c>
      <c r="P46" s="903">
        <f t="shared" ref="P46:P54" ca="1" si="46">J46+G46+M46</f>
        <v>2692.7193138096291</v>
      </c>
      <c r="Q46" s="904">
        <f>K46+H46+N46</f>
        <v>0</v>
      </c>
      <c r="R46" s="905">
        <v>0</v>
      </c>
      <c r="S46" s="906">
        <v>58</v>
      </c>
      <c r="T46" s="907">
        <f>U46</f>
        <v>16.11</v>
      </c>
      <c r="U46" s="100">
        <v>16.11</v>
      </c>
      <c r="V46" s="98"/>
      <c r="W46" s="175">
        <f>U46/U$56</f>
        <v>3.7476680268897493E-2</v>
      </c>
      <c r="X46" s="175"/>
      <c r="Y46" s="159"/>
      <c r="Z46" s="98"/>
      <c r="AA46" s="159">
        <f>Y46*Z46</f>
        <v>0</v>
      </c>
      <c r="AB46" s="161">
        <f>U46</f>
        <v>16.11</v>
      </c>
      <c r="AC46" s="161"/>
      <c r="AD46" s="175"/>
      <c r="AE46" s="147">
        <f ca="1">AF$6*W46</f>
        <v>69333.432518031652</v>
      </c>
      <c r="AF46" s="162">
        <f>S46*J46</f>
        <v>86844.287682926835</v>
      </c>
      <c r="AG46" s="176"/>
      <c r="AH46" s="162">
        <f>SUM(AG46:AG46)/0.94</f>
        <v>0</v>
      </c>
      <c r="AJ46" s="165">
        <f>SUM(AF11:AF38)</f>
        <v>1007380.5736579145</v>
      </c>
      <c r="AK46" s="165">
        <f>AJ43-AM43</f>
        <v>1007380.5736579145</v>
      </c>
    </row>
    <row r="47" spans="3:39" s="100" customFormat="1" ht="15" customHeight="1">
      <c r="C47" s="899" t="s">
        <v>582</v>
      </c>
      <c r="D47" s="900"/>
      <c r="E47" s="901"/>
      <c r="F47" s="902">
        <v>40</v>
      </c>
      <c r="G47" s="903">
        <f t="shared" ref="G47:G49" ca="1" si="47">G50</f>
        <v>1199.7417560825068</v>
      </c>
      <c r="H47" s="908">
        <v>0</v>
      </c>
      <c r="I47" s="905">
        <v>0</v>
      </c>
      <c r="J47" s="903">
        <f t="shared" ref="J47:J49" si="48">J50</f>
        <v>0</v>
      </c>
      <c r="K47" s="908">
        <v>0</v>
      </c>
      <c r="L47" s="905">
        <v>0</v>
      </c>
      <c r="M47" s="903">
        <f t="shared" ref="M47:M49" si="49">M50</f>
        <v>1442.6475860613921</v>
      </c>
      <c r="N47" s="908">
        <v>0</v>
      </c>
      <c r="O47" s="905">
        <v>0</v>
      </c>
      <c r="P47" s="903">
        <f t="shared" ca="1" si="46"/>
        <v>2642.3893421438988</v>
      </c>
      <c r="Q47" s="908">
        <v>0</v>
      </c>
      <c r="R47" s="905">
        <v>0</v>
      </c>
      <c r="S47" s="906">
        <f t="shared" ref="S47:S49" si="50">H61</f>
        <v>102</v>
      </c>
      <c r="T47" s="907"/>
      <c r="U47" s="146"/>
      <c r="V47" s="98"/>
      <c r="W47" s="175"/>
      <c r="X47" s="175"/>
      <c r="Y47" s="159"/>
      <c r="Z47" s="98"/>
      <c r="AA47" s="159"/>
      <c r="AB47" s="161"/>
      <c r="AC47" s="161"/>
      <c r="AD47" s="175"/>
      <c r="AE47" s="147">
        <f t="shared" ref="AE47:AE49" ca="1" si="51">S47*G47</f>
        <v>122373.65912041569</v>
      </c>
      <c r="AF47" s="162"/>
      <c r="AG47" s="176">
        <f t="shared" ref="AG47:AG49" si="52">S47*M47</f>
        <v>147150.05377826199</v>
      </c>
      <c r="AH47" s="162"/>
      <c r="AI47" s="146"/>
    </row>
    <row r="48" spans="3:39" s="100" customFormat="1" ht="15" customHeight="1">
      <c r="C48" s="909"/>
      <c r="D48" s="181"/>
      <c r="E48" s="182"/>
      <c r="F48" s="183">
        <v>50</v>
      </c>
      <c r="G48" s="184">
        <f t="shared" ca="1" si="47"/>
        <v>1499.677195103133</v>
      </c>
      <c r="H48" s="220">
        <v>0</v>
      </c>
      <c r="I48" s="186">
        <v>0</v>
      </c>
      <c r="J48" s="184">
        <f t="shared" si="48"/>
        <v>0</v>
      </c>
      <c r="K48" s="220">
        <v>0</v>
      </c>
      <c r="L48" s="186">
        <v>0</v>
      </c>
      <c r="M48" s="184">
        <f t="shared" si="49"/>
        <v>1803.30948257674</v>
      </c>
      <c r="N48" s="220">
        <v>0</v>
      </c>
      <c r="O48" s="186">
        <v>0</v>
      </c>
      <c r="P48" s="184">
        <f t="shared" ca="1" si="46"/>
        <v>3302.9866776798731</v>
      </c>
      <c r="Q48" s="220">
        <v>0</v>
      </c>
      <c r="R48" s="186">
        <v>0</v>
      </c>
      <c r="S48" s="910">
        <f t="shared" si="50"/>
        <v>154</v>
      </c>
      <c r="T48" s="911"/>
      <c r="U48" s="146"/>
      <c r="V48" s="98"/>
      <c r="W48" s="175"/>
      <c r="X48" s="175"/>
      <c r="Y48" s="159"/>
      <c r="Z48" s="98"/>
      <c r="AA48" s="159"/>
      <c r="AB48" s="161"/>
      <c r="AC48" s="161"/>
      <c r="AD48" s="175"/>
      <c r="AE48" s="147">
        <f t="shared" ca="1" si="51"/>
        <v>230950.28804588248</v>
      </c>
      <c r="AF48" s="162"/>
      <c r="AG48" s="176">
        <f t="shared" si="52"/>
        <v>277709.66031681799</v>
      </c>
      <c r="AH48" s="162"/>
      <c r="AI48" s="146"/>
    </row>
    <row r="49" spans="3:39" s="100" customFormat="1" ht="15" customHeight="1">
      <c r="C49" s="909"/>
      <c r="D49" s="181"/>
      <c r="E49" s="182"/>
      <c r="F49" s="183">
        <v>60</v>
      </c>
      <c r="G49" s="184">
        <f t="shared" ca="1" si="47"/>
        <v>1799.6126341237598</v>
      </c>
      <c r="H49" s="220">
        <v>0</v>
      </c>
      <c r="I49" s="186">
        <v>0</v>
      </c>
      <c r="J49" s="184">
        <f t="shared" si="48"/>
        <v>0</v>
      </c>
      <c r="K49" s="220">
        <v>0</v>
      </c>
      <c r="L49" s="186">
        <v>0</v>
      </c>
      <c r="M49" s="184">
        <f t="shared" si="49"/>
        <v>2163.9713790920882</v>
      </c>
      <c r="N49" s="220">
        <v>0</v>
      </c>
      <c r="O49" s="186">
        <v>0</v>
      </c>
      <c r="P49" s="184">
        <f t="shared" ca="1" si="46"/>
        <v>3963.5840132158482</v>
      </c>
      <c r="Q49" s="220">
        <v>0</v>
      </c>
      <c r="R49" s="186">
        <v>0</v>
      </c>
      <c r="S49" s="910">
        <f t="shared" si="50"/>
        <v>49</v>
      </c>
      <c r="T49" s="911"/>
      <c r="U49" s="146"/>
      <c r="V49" s="98"/>
      <c r="W49" s="175"/>
      <c r="X49" s="175"/>
      <c r="Y49" s="159"/>
      <c r="Z49" s="98"/>
      <c r="AA49" s="159"/>
      <c r="AB49" s="161"/>
      <c r="AC49" s="161"/>
      <c r="AD49" s="175"/>
      <c r="AE49" s="147">
        <f t="shared" ca="1" si="51"/>
        <v>88181.019072064228</v>
      </c>
      <c r="AF49" s="162"/>
      <c r="AG49" s="176">
        <f t="shared" si="52"/>
        <v>106034.59757551232</v>
      </c>
      <c r="AH49" s="162"/>
      <c r="AI49" s="146"/>
      <c r="AJ49" s="147"/>
    </row>
    <row r="50" spans="3:39" s="930" customFormat="1" ht="15" hidden="1" customHeight="1">
      <c r="C50" s="931" t="s">
        <v>212</v>
      </c>
      <c r="D50" s="932"/>
      <c r="E50" s="933" t="s">
        <v>189</v>
      </c>
      <c r="F50" s="934">
        <v>40</v>
      </c>
      <c r="G50" s="935">
        <f t="shared" ref="G50:G52" ca="1" si="53">AF$6*W50/S50</f>
        <v>1199.7417560825068</v>
      </c>
      <c r="H50" s="936">
        <v>0</v>
      </c>
      <c r="I50" s="937">
        <v>0</v>
      </c>
      <c r="J50" s="935">
        <v>0</v>
      </c>
      <c r="K50" s="936">
        <v>0</v>
      </c>
      <c r="L50" s="937">
        <v>0</v>
      </c>
      <c r="M50" s="938">
        <v>1442.6475860613921</v>
      </c>
      <c r="N50" s="936">
        <v>0</v>
      </c>
      <c r="O50" s="937">
        <v>0</v>
      </c>
      <c r="P50" s="935">
        <f t="shared" ca="1" si="46"/>
        <v>2642.3893421438988</v>
      </c>
      <c r="Q50" s="939">
        <f t="shared" ref="Q50:Q54" si="54">K50+H50+N50</f>
        <v>0</v>
      </c>
      <c r="R50" s="937">
        <v>0</v>
      </c>
      <c r="S50" s="940">
        <v>186</v>
      </c>
      <c r="T50" s="941"/>
      <c r="U50" s="942">
        <f>131.86+26.34</f>
        <v>158.20000000000002</v>
      </c>
      <c r="V50" s="943">
        <f t="shared" ref="V50:V52" si="55">+F50*S50</f>
        <v>7440</v>
      </c>
      <c r="W50" s="944">
        <f t="shared" ref="W50:W52" si="56">(V50/SUM(V$50:V$52))*U$50/U$56</f>
        <v>0.12061994626681245</v>
      </c>
      <c r="X50" s="945"/>
      <c r="Y50" s="946">
        <f t="shared" ref="Y50:Y52" si="57">U$50*(V50/SUM(V$50:V$52))/S50</f>
        <v>0.27876651982378858</v>
      </c>
      <c r="Z50" s="943"/>
      <c r="AA50" s="946">
        <f t="shared" ref="AA50:AA54" si="58">Y50*Z50</f>
        <v>0</v>
      </c>
      <c r="AB50" s="947">
        <f t="shared" ref="AB50:AB52" si="59">Y50*S50-AA50</f>
        <v>51.850572687224677</v>
      </c>
      <c r="AC50" s="947">
        <f t="shared" ref="AC50:AC54" si="60">AB50</f>
        <v>51.850572687224677</v>
      </c>
      <c r="AD50" s="945"/>
      <c r="AE50" s="948"/>
      <c r="AF50" s="949"/>
      <c r="AG50" s="949"/>
      <c r="AH50" s="950"/>
      <c r="AI50" s="949"/>
    </row>
    <row r="51" spans="3:39" s="930" customFormat="1" ht="15" hidden="1" customHeight="1">
      <c r="C51" s="951"/>
      <c r="D51" s="952"/>
      <c r="E51" s="953" t="s">
        <v>189</v>
      </c>
      <c r="F51" s="954">
        <v>50</v>
      </c>
      <c r="G51" s="955">
        <f t="shared" ca="1" si="53"/>
        <v>1499.677195103133</v>
      </c>
      <c r="H51" s="956">
        <v>0</v>
      </c>
      <c r="I51" s="957">
        <v>0</v>
      </c>
      <c r="J51" s="955">
        <v>0</v>
      </c>
      <c r="K51" s="956">
        <v>0</v>
      </c>
      <c r="L51" s="957">
        <v>0</v>
      </c>
      <c r="M51" s="958">
        <v>1803.30948257674</v>
      </c>
      <c r="N51" s="956">
        <v>0</v>
      </c>
      <c r="O51" s="957">
        <v>0</v>
      </c>
      <c r="P51" s="955">
        <f t="shared" ca="1" si="46"/>
        <v>3302.9866776798731</v>
      </c>
      <c r="Q51" s="959">
        <f t="shared" si="54"/>
        <v>0</v>
      </c>
      <c r="R51" s="957">
        <v>0</v>
      </c>
      <c r="S51" s="960">
        <v>220</v>
      </c>
      <c r="T51" s="961"/>
      <c r="U51" s="942"/>
      <c r="V51" s="943">
        <f t="shared" si="55"/>
        <v>11000</v>
      </c>
      <c r="W51" s="944">
        <f t="shared" si="56"/>
        <v>0.17833594206114742</v>
      </c>
      <c r="X51" s="945"/>
      <c r="Y51" s="946">
        <f t="shared" si="57"/>
        <v>0.34845814977973566</v>
      </c>
      <c r="Z51" s="943"/>
      <c r="AA51" s="946">
        <f t="shared" si="58"/>
        <v>0</v>
      </c>
      <c r="AB51" s="947">
        <f t="shared" si="59"/>
        <v>76.66079295154185</v>
      </c>
      <c r="AC51" s="947">
        <f t="shared" si="60"/>
        <v>76.66079295154185</v>
      </c>
      <c r="AD51" s="945"/>
      <c r="AE51" s="948"/>
      <c r="AF51" s="949"/>
      <c r="AG51" s="949"/>
      <c r="AH51" s="950"/>
      <c r="AI51" s="942"/>
    </row>
    <row r="52" spans="3:39" s="930" customFormat="1" ht="15" hidden="1" customHeight="1">
      <c r="C52" s="962"/>
      <c r="D52" s="963"/>
      <c r="E52" s="964" t="s">
        <v>189</v>
      </c>
      <c r="F52" s="965">
        <v>60</v>
      </c>
      <c r="G52" s="966">
        <f t="shared" ca="1" si="53"/>
        <v>1799.6126341237598</v>
      </c>
      <c r="H52" s="967">
        <v>0</v>
      </c>
      <c r="I52" s="968">
        <v>0</v>
      </c>
      <c r="J52" s="966">
        <v>0</v>
      </c>
      <c r="K52" s="967">
        <v>0</v>
      </c>
      <c r="L52" s="968">
        <v>0</v>
      </c>
      <c r="M52" s="969">
        <v>2163.9713790920882</v>
      </c>
      <c r="N52" s="967">
        <v>0</v>
      </c>
      <c r="O52" s="968">
        <v>0</v>
      </c>
      <c r="P52" s="966">
        <f t="shared" ca="1" si="46"/>
        <v>3963.5840132158482</v>
      </c>
      <c r="Q52" s="970">
        <f t="shared" si="54"/>
        <v>0</v>
      </c>
      <c r="R52" s="968">
        <v>0</v>
      </c>
      <c r="S52" s="971">
        <v>71</v>
      </c>
      <c r="T52" s="972"/>
      <c r="U52" s="942"/>
      <c r="V52" s="943">
        <f t="shared" si="55"/>
        <v>4260</v>
      </c>
      <c r="W52" s="944">
        <f t="shared" si="56"/>
        <v>6.9064646652771636E-2</v>
      </c>
      <c r="X52" s="945"/>
      <c r="Y52" s="946">
        <f t="shared" si="57"/>
        <v>0.41814977973568285</v>
      </c>
      <c r="Z52" s="943"/>
      <c r="AA52" s="946">
        <f t="shared" si="58"/>
        <v>0</v>
      </c>
      <c r="AB52" s="947">
        <f t="shared" si="59"/>
        <v>29.688634361233483</v>
      </c>
      <c r="AC52" s="947">
        <f t="shared" si="60"/>
        <v>29.688634361233483</v>
      </c>
      <c r="AD52" s="945"/>
      <c r="AE52" s="948"/>
      <c r="AF52" s="949"/>
      <c r="AG52" s="949"/>
      <c r="AH52" s="950"/>
      <c r="AI52" s="942"/>
    </row>
    <row r="53" spans="3:39" s="100" customFormat="1" ht="15" customHeight="1">
      <c r="C53" s="912" t="s">
        <v>213</v>
      </c>
      <c r="D53" s="973"/>
      <c r="E53" s="974" t="s">
        <v>214</v>
      </c>
      <c r="F53" s="975"/>
      <c r="G53" s="976">
        <f ca="1">AF6/U56</f>
        <v>4303.7512425842124</v>
      </c>
      <c r="H53" s="876">
        <v>4303.7592760602056</v>
      </c>
      <c r="I53" s="877">
        <f t="shared" ref="I53:I54" ca="1" si="61">(+G53-H53)/H53</f>
        <v>-1.8666183394369076E-6</v>
      </c>
      <c r="J53" s="976">
        <v>0</v>
      </c>
      <c r="K53" s="876">
        <v>0</v>
      </c>
      <c r="L53" s="877">
        <v>0</v>
      </c>
      <c r="M53" s="875">
        <v>5175.1106397965223</v>
      </c>
      <c r="N53" s="876">
        <v>5175.1106397965223</v>
      </c>
      <c r="O53" s="877">
        <f t="shared" ref="O53:O54" si="62">(+M53-N53)/N53</f>
        <v>0</v>
      </c>
      <c r="P53" s="976">
        <f t="shared" ca="1" si="46"/>
        <v>9478.8618823807337</v>
      </c>
      <c r="Q53" s="876">
        <f t="shared" si="54"/>
        <v>9478.8699158567288</v>
      </c>
      <c r="R53" s="877">
        <f t="shared" ref="R53:R54" ca="1" si="63">(+P53-Q53)/Q53</f>
        <v>-8.475141094188746E-7</v>
      </c>
      <c r="S53" s="977"/>
      <c r="T53" s="978">
        <f t="shared" ref="T53:T54" si="64">U53</f>
        <v>29.97</v>
      </c>
      <c r="U53" s="146">
        <f>30.25-0.28</f>
        <v>29.97</v>
      </c>
      <c r="V53" s="98"/>
      <c r="W53" s="175">
        <f t="shared" ref="W53:W54" si="65">U53/U$56</f>
        <v>6.9719187315881934E-2</v>
      </c>
      <c r="X53" s="175"/>
      <c r="Y53" s="159"/>
      <c r="Z53" s="98"/>
      <c r="AA53" s="159">
        <f t="shared" si="58"/>
        <v>0</v>
      </c>
      <c r="AB53" s="161">
        <f t="shared" ref="AB53:AB54" si="66">U53</f>
        <v>29.97</v>
      </c>
      <c r="AC53" s="161">
        <f t="shared" si="60"/>
        <v>29.97</v>
      </c>
      <c r="AD53" s="175"/>
      <c r="AE53" s="147">
        <f t="shared" ref="AE53:AE54" ca="1" si="67">G53*U53</f>
        <v>128983.42474024884</v>
      </c>
      <c r="AF53" s="176"/>
      <c r="AG53" s="176">
        <f t="shared" ref="AG53:AG54" si="68">T53*M53</f>
        <v>155098.06587470177</v>
      </c>
      <c r="AH53" s="162">
        <f t="shared" ref="AH53:AH54" si="69">SUM(AF53:AG53)/0.94</f>
        <v>164997.94241989552</v>
      </c>
      <c r="AI53" s="146"/>
      <c r="AJ53" s="979"/>
    </row>
    <row r="54" spans="3:39" s="100" customFormat="1" ht="15" customHeight="1">
      <c r="C54" s="913" t="s">
        <v>215</v>
      </c>
      <c r="D54" s="980"/>
      <c r="E54" s="980"/>
      <c r="F54" s="980"/>
      <c r="G54" s="916">
        <f ca="1">G53</f>
        <v>4303.7512425842124</v>
      </c>
      <c r="H54" s="917">
        <v>4303.7592760602056</v>
      </c>
      <c r="I54" s="918">
        <f t="shared" ca="1" si="61"/>
        <v>-1.8666183394369076E-6</v>
      </c>
      <c r="J54" s="916">
        <v>0</v>
      </c>
      <c r="K54" s="917">
        <v>0</v>
      </c>
      <c r="L54" s="918">
        <v>0</v>
      </c>
      <c r="M54" s="916">
        <v>5175.1106675108258</v>
      </c>
      <c r="N54" s="917">
        <v>5175.1106675108258</v>
      </c>
      <c r="O54" s="918">
        <f t="shared" si="62"/>
        <v>0</v>
      </c>
      <c r="P54" s="981">
        <f t="shared" ca="1" si="46"/>
        <v>9478.8619100950382</v>
      </c>
      <c r="Q54" s="917">
        <f t="shared" si="54"/>
        <v>9478.8699435710314</v>
      </c>
      <c r="R54" s="918">
        <f t="shared" ca="1" si="63"/>
        <v>-8.47514106749015E-7</v>
      </c>
      <c r="S54" s="982"/>
      <c r="T54" s="983">
        <f t="shared" si="64"/>
        <v>7.58</v>
      </c>
      <c r="U54" s="146">
        <v>7.58</v>
      </c>
      <c r="V54" s="98"/>
      <c r="W54" s="175">
        <f t="shared" si="65"/>
        <v>1.763334800982266E-2</v>
      </c>
      <c r="X54" s="175"/>
      <c r="Y54" s="159"/>
      <c r="Z54" s="98"/>
      <c r="AA54" s="159">
        <f t="shared" si="58"/>
        <v>0</v>
      </c>
      <c r="AB54" s="161">
        <f t="shared" si="66"/>
        <v>7.58</v>
      </c>
      <c r="AC54" s="161">
        <f t="shared" si="60"/>
        <v>7.58</v>
      </c>
      <c r="AD54" s="175"/>
      <c r="AE54" s="147">
        <f t="shared" ca="1" si="67"/>
        <v>32622.434418788329</v>
      </c>
      <c r="AF54" s="176"/>
      <c r="AG54" s="176">
        <f t="shared" si="68"/>
        <v>39227.338859732059</v>
      </c>
      <c r="AH54" s="162">
        <f t="shared" si="69"/>
        <v>41731.211552906447</v>
      </c>
      <c r="AI54" s="146"/>
      <c r="AJ54" s="147"/>
    </row>
    <row r="55" spans="3:39">
      <c r="C55" s="984"/>
      <c r="D55" s="984"/>
      <c r="E55" s="985"/>
      <c r="F55" s="984"/>
      <c r="G55" s="986"/>
      <c r="H55" s="986"/>
      <c r="I55" s="987"/>
      <c r="J55" s="988"/>
      <c r="K55" s="988"/>
      <c r="L55" s="987"/>
      <c r="M55" s="987"/>
      <c r="N55" s="987"/>
      <c r="O55" s="989"/>
      <c r="P55" s="988"/>
      <c r="Q55" s="988"/>
      <c r="R55" s="989"/>
      <c r="S55" s="990"/>
      <c r="T55" s="991"/>
      <c r="U55" s="75"/>
      <c r="W55" s="235"/>
      <c r="X55" s="235"/>
      <c r="Y55" s="236"/>
      <c r="AA55" s="236"/>
      <c r="AB55" s="237"/>
      <c r="AC55" s="237"/>
      <c r="AD55" s="235"/>
      <c r="AE55" s="72"/>
      <c r="AF55" s="74"/>
      <c r="AG55" s="74"/>
      <c r="AH55" s="74"/>
      <c r="AI55" s="75"/>
    </row>
    <row r="56" spans="3:39" ht="15">
      <c r="C56" s="992"/>
      <c r="D56" s="993" t="s">
        <v>216</v>
      </c>
      <c r="E56" s="985"/>
      <c r="F56" s="984"/>
      <c r="G56" s="994"/>
      <c r="H56" s="994"/>
      <c r="I56" s="995"/>
      <c r="J56" s="996"/>
      <c r="K56" s="996"/>
      <c r="L56" s="995"/>
      <c r="M56" s="995"/>
      <c r="N56" s="995"/>
      <c r="O56" s="995"/>
      <c r="P56" s="988"/>
      <c r="Q56" s="988"/>
      <c r="R56" s="997" t="s">
        <v>150</v>
      </c>
      <c r="S56" s="998">
        <f>SUM(S11:S49)</f>
        <v>1532</v>
      </c>
      <c r="T56" s="999">
        <f>SUM(T11:T54)</f>
        <v>83.387317073170735</v>
      </c>
      <c r="U56" s="1000">
        <f>SUM(U11:U54)</f>
        <v>429.86731707317068</v>
      </c>
      <c r="V56" s="95"/>
      <c r="W56" s="1001">
        <v>1</v>
      </c>
      <c r="X56" s="1001"/>
      <c r="Y56" s="95"/>
      <c r="Z56" s="1002">
        <f>SUM(Z11:Z54)</f>
        <v>45</v>
      </c>
      <c r="AA56" s="1003">
        <f>SUM(AA11:AA54)</f>
        <v>11.506445754960593</v>
      </c>
      <c r="AB56" s="1003">
        <f>SUM(AB11:AB54)</f>
        <v>418.36087131821006</v>
      </c>
      <c r="AC56" s="1004">
        <f>SUM(AC43:AC54)</f>
        <v>196.03000000000003</v>
      </c>
      <c r="AD56" s="1001"/>
      <c r="AE56" s="1005">
        <f ca="1">SUM(AE11:AE54)</f>
        <v>1925207.8133245469</v>
      </c>
      <c r="AF56" s="1006">
        <f>SUM(AF11:AF54)</f>
        <v>1263071.0552951745</v>
      </c>
      <c r="AG56" s="1005">
        <f>SUM(AG11:AG54)</f>
        <v>1085564.4436337214</v>
      </c>
      <c r="AH56" s="1005">
        <f ca="1">SUM(AH11:AH54)</f>
        <v>1945302.4155876674</v>
      </c>
      <c r="AI56" s="176"/>
      <c r="AJ56" s="100"/>
      <c r="AK56" s="100"/>
      <c r="AL56" s="100"/>
      <c r="AM56" s="100"/>
    </row>
    <row r="57" spans="3:39" ht="15">
      <c r="C57" s="1007"/>
      <c r="D57" s="1008"/>
      <c r="E57" s="985"/>
      <c r="F57" s="1009"/>
      <c r="G57" s="1008"/>
      <c r="H57" s="1008"/>
      <c r="I57" s="1008"/>
      <c r="J57" s="1008"/>
      <c r="K57" s="1008"/>
      <c r="L57" s="1008"/>
      <c r="M57" s="1008"/>
      <c r="N57" s="1008"/>
      <c r="O57" s="1008"/>
      <c r="P57" s="1008"/>
      <c r="Q57" s="1008"/>
      <c r="R57" s="1010"/>
      <c r="S57" s="1009"/>
      <c r="T57" s="1009"/>
      <c r="W57" s="235"/>
      <c r="X57" s="235"/>
      <c r="AC57" s="100"/>
      <c r="AD57" s="100"/>
      <c r="AE57" s="147"/>
      <c r="AF57" s="162"/>
      <c r="AG57" s="147"/>
      <c r="AH57" s="147"/>
    </row>
    <row r="58" spans="3:39" ht="15">
      <c r="E58" s="228"/>
      <c r="H58" s="77"/>
      <c r="I58" s="252"/>
      <c r="M58" s="253"/>
      <c r="O58" s="252"/>
      <c r="P58" s="254"/>
      <c r="Q58" s="72"/>
      <c r="R58" s="255"/>
      <c r="Z58" s="256"/>
      <c r="AB58" s="257"/>
      <c r="AC58" s="164"/>
      <c r="AD58" s="1011" t="s">
        <v>217</v>
      </c>
      <c r="AE58" s="1012">
        <f ca="1">AE60+AE61-AE56</f>
        <v>0</v>
      </c>
      <c r="AF58" s="1013">
        <f>AF60+AF61-AF56</f>
        <v>0</v>
      </c>
      <c r="AG58" s="1013"/>
      <c r="AH58" s="100"/>
    </row>
    <row r="59" spans="3:39" ht="14.25" hidden="1">
      <c r="P59" s="254"/>
      <c r="R59" s="81"/>
      <c r="Z59" s="256"/>
      <c r="AB59" s="72"/>
      <c r="AC59" s="100"/>
      <c r="AD59" s="100"/>
      <c r="AE59" s="147"/>
      <c r="AF59" s="147"/>
      <c r="AG59" s="147"/>
      <c r="AH59" s="147"/>
    </row>
    <row r="60" spans="3:39" ht="14.25" hidden="1">
      <c r="G60" s="69" t="s">
        <v>583</v>
      </c>
      <c r="H60" s="1014" t="s">
        <v>584</v>
      </c>
      <c r="I60" s="260" t="s">
        <v>585</v>
      </c>
      <c r="J60" s="260"/>
      <c r="K60" s="260"/>
      <c r="L60" s="260"/>
      <c r="M60" s="261"/>
      <c r="N60" s="79"/>
      <c r="P60" s="254"/>
      <c r="R60" s="81"/>
      <c r="U60" s="262" t="s">
        <v>218</v>
      </c>
      <c r="V60" s="263"/>
      <c r="AC60" s="100"/>
      <c r="AD60" s="1015" t="s">
        <v>219</v>
      </c>
      <c r="AE60" s="147">
        <f ca="1">SUM(AE11:AE44)</f>
        <v>1252763.5554091157</v>
      </c>
      <c r="AF60" s="164">
        <f>SUM(AF11:AF44)</f>
        <v>1176226.7676122477</v>
      </c>
      <c r="AG60" s="147">
        <f>SUM(AG40:AG44)</f>
        <v>360344.72722869541</v>
      </c>
      <c r="AH60" s="147"/>
      <c r="AI60" s="72"/>
    </row>
    <row r="61" spans="3:39" ht="15" hidden="1">
      <c r="F61" s="69" t="s">
        <v>586</v>
      </c>
      <c r="G61" s="1016">
        <v>84</v>
      </c>
      <c r="H61" s="1017">
        <f t="shared" ref="H61:H63" si="70">S50-G61</f>
        <v>102</v>
      </c>
      <c r="I61" s="260" t="s">
        <v>587</v>
      </c>
      <c r="J61" s="260"/>
      <c r="K61" s="260"/>
      <c r="L61" s="260"/>
      <c r="M61" s="261"/>
      <c r="N61" s="79"/>
      <c r="P61" s="254"/>
      <c r="R61" s="81"/>
      <c r="U61" s="262">
        <f>45.56/164</f>
        <v>0.27780487804878051</v>
      </c>
      <c r="V61" s="263" t="s">
        <v>220</v>
      </c>
      <c r="AB61" s="265"/>
      <c r="AC61" s="1015"/>
      <c r="AD61" s="1015" t="s">
        <v>221</v>
      </c>
      <c r="AE61" s="147">
        <f ca="1">SUM(AE46:AE54)</f>
        <v>672444.25791543117</v>
      </c>
      <c r="AF61" s="147">
        <f>SUM(AF46:AF54)</f>
        <v>86844.287682926835</v>
      </c>
      <c r="AG61" s="147">
        <f>SUM(AG47:AG54)</f>
        <v>725219.71640502615</v>
      </c>
      <c r="AH61" s="147"/>
    </row>
    <row r="62" spans="3:39" ht="15" hidden="1">
      <c r="F62" s="69" t="s">
        <v>588</v>
      </c>
      <c r="G62" s="1016">
        <v>66</v>
      </c>
      <c r="H62" s="1017">
        <f t="shared" si="70"/>
        <v>154</v>
      </c>
      <c r="I62" s="260" t="s">
        <v>589</v>
      </c>
      <c r="J62" s="260"/>
      <c r="K62" s="260"/>
      <c r="L62" s="260"/>
      <c r="M62" s="261"/>
      <c r="N62" s="79"/>
      <c r="R62" s="81"/>
      <c r="U62" s="262"/>
      <c r="V62" s="263" t="s">
        <v>222</v>
      </c>
      <c r="AB62" s="264"/>
      <c r="AC62" s="1015"/>
      <c r="AD62" s="100"/>
      <c r="AE62" s="1012">
        <f ca="1">SUM(AE60:AE61)</f>
        <v>1925207.8133245469</v>
      </c>
      <c r="AF62" s="1012">
        <f>SUM(AF60:AF61)</f>
        <v>1263071.0552951745</v>
      </c>
      <c r="AG62" s="1012">
        <f>SUM(AG60:AG61)</f>
        <v>1085564.4436337217</v>
      </c>
      <c r="AH62" s="147"/>
    </row>
    <row r="63" spans="3:39" ht="15" hidden="1">
      <c r="F63" s="69" t="s">
        <v>590</v>
      </c>
      <c r="G63" s="1016">
        <v>22</v>
      </c>
      <c r="H63" s="1017">
        <f t="shared" si="70"/>
        <v>49</v>
      </c>
      <c r="R63" s="81"/>
      <c r="Z63" s="256"/>
      <c r="AC63" s="100"/>
      <c r="AD63" s="100"/>
      <c r="AE63" s="100"/>
      <c r="AF63" s="100"/>
      <c r="AG63" s="147"/>
      <c r="AH63" s="147"/>
    </row>
    <row r="64" spans="3:39" ht="15" hidden="1">
      <c r="R64" s="81"/>
      <c r="AC64" s="100"/>
      <c r="AD64" s="1018" t="s">
        <v>224</v>
      </c>
      <c r="AE64" s="881">
        <f ca="1">AF6</f>
        <v>1850042</v>
      </c>
      <c r="AF64" s="147"/>
      <c r="AG64" s="1019">
        <v>1067193.7078835601</v>
      </c>
      <c r="AH64" s="147" t="s">
        <v>591</v>
      </c>
    </row>
    <row r="65" spans="18:34" ht="14.25" hidden="1">
      <c r="R65" s="81"/>
      <c r="AC65" s="100"/>
      <c r="AD65" s="165"/>
      <c r="AE65" s="147"/>
      <c r="AF65" s="147"/>
      <c r="AG65" s="100"/>
      <c r="AH65" s="100"/>
    </row>
    <row r="66" spans="18:34" ht="15" hidden="1">
      <c r="R66" s="81"/>
      <c r="AC66" s="1020"/>
      <c r="AD66" s="165"/>
      <c r="AE66" s="100"/>
      <c r="AF66" s="100"/>
      <c r="AG66" s="147">
        <f>SUM(AG40:AG42)*0.94</f>
        <v>287808.19341924769</v>
      </c>
      <c r="AH66" s="96" t="s">
        <v>592</v>
      </c>
    </row>
    <row r="67" spans="18:34" ht="15" hidden="1">
      <c r="R67" s="81"/>
      <c r="AC67" s="1020"/>
      <c r="AD67" s="100"/>
      <c r="AE67" s="147">
        <f ca="1">AE60*0.94</f>
        <v>1177597.7420845688</v>
      </c>
      <c r="AF67" s="100"/>
      <c r="AG67" s="147">
        <f>AG43+AG44</f>
        <v>54165.798059282919</v>
      </c>
      <c r="AH67" s="162" t="s">
        <v>593</v>
      </c>
    </row>
    <row r="68" spans="18:34" ht="15" hidden="1">
      <c r="R68" s="81"/>
      <c r="AC68" s="1020"/>
      <c r="AD68" s="100"/>
      <c r="AE68" s="1021">
        <f ca="1">AE61</f>
        <v>672444.25791543117</v>
      </c>
      <c r="AF68" s="100"/>
      <c r="AG68" s="1021">
        <f>SUM(AG47:AG54)</f>
        <v>725219.71640502615</v>
      </c>
      <c r="AH68" s="162" t="s">
        <v>594</v>
      </c>
    </row>
    <row r="69" spans="18:34" ht="15">
      <c r="R69" s="81"/>
      <c r="AC69" s="1020"/>
      <c r="AD69" s="1018" t="s">
        <v>148</v>
      </c>
      <c r="AE69" s="147">
        <f ca="1">AE67+AE68</f>
        <v>1850042</v>
      </c>
      <c r="AF69" s="100"/>
      <c r="AG69" s="147">
        <f>SUM(AG66:AG68)</f>
        <v>1067193.7078835568</v>
      </c>
      <c r="AH69" s="162" t="s">
        <v>595</v>
      </c>
    </row>
    <row r="70" spans="18:34" ht="15">
      <c r="AC70" s="1020"/>
      <c r="AD70" s="1018" t="s">
        <v>183</v>
      </c>
      <c r="AE70" s="1022">
        <f ca="1">AE64-AE69</f>
        <v>0</v>
      </c>
      <c r="AF70" s="147"/>
      <c r="AG70" s="1022">
        <f>ROUND((AG69-AG64),2)</f>
        <v>0</v>
      </c>
      <c r="AH70" s="162" t="s">
        <v>183</v>
      </c>
    </row>
    <row r="71" spans="18:34">
      <c r="AC71" s="266"/>
      <c r="AD71" s="1023"/>
      <c r="AE71" s="72"/>
      <c r="AF71" s="72"/>
      <c r="AG71" s="1024"/>
      <c r="AH71" s="72"/>
    </row>
    <row r="72" spans="18:34">
      <c r="AF72" s="72"/>
    </row>
    <row r="73" spans="18:34">
      <c r="AF73" s="72"/>
    </row>
    <row r="74" spans="18:34">
      <c r="AE74" s="72"/>
      <c r="AF74" s="72"/>
      <c r="AH74" s="72"/>
    </row>
    <row r="75" spans="18:34">
      <c r="AE75" s="72"/>
      <c r="AF75" s="72"/>
      <c r="AH75" s="72"/>
    </row>
    <row r="76" spans="18:34">
      <c r="AE76" s="72"/>
      <c r="AF76" s="72"/>
      <c r="AH76" s="72"/>
    </row>
    <row r="77" spans="18:34">
      <c r="AE77" s="72"/>
      <c r="AF77" s="72"/>
      <c r="AH77" s="72"/>
    </row>
    <row r="78" spans="18:34">
      <c r="AE78" s="72"/>
      <c r="AF78" s="72"/>
      <c r="AH78" s="72"/>
    </row>
    <row r="79" spans="18:34">
      <c r="AE79" s="72"/>
      <c r="AF79" s="72"/>
      <c r="AH79" s="72"/>
    </row>
    <row r="80" spans="18:34">
      <c r="AE80" s="72"/>
      <c r="AF80" s="72"/>
      <c r="AH80" s="72"/>
    </row>
    <row r="81" spans="31:34">
      <c r="AE81" s="72"/>
      <c r="AF81" s="72"/>
      <c r="AH81" s="72"/>
    </row>
    <row r="82" spans="31:34">
      <c r="AE82" s="72"/>
      <c r="AF82" s="72"/>
      <c r="AH82" s="72"/>
    </row>
    <row r="83" spans="31:34">
      <c r="AE83" s="72"/>
      <c r="AF83" s="72"/>
      <c r="AH83" s="72"/>
    </row>
    <row r="84" spans="31:34">
      <c r="AE84" s="72"/>
      <c r="AF84" s="72"/>
      <c r="AH84" s="72"/>
    </row>
    <row r="85" spans="31:34">
      <c r="AE85" s="72"/>
      <c r="AF85" s="72"/>
      <c r="AH85" s="72"/>
    </row>
    <row r="86" spans="31:34">
      <c r="AE86" s="72"/>
      <c r="AF86" s="72"/>
      <c r="AH86" s="72"/>
    </row>
    <row r="87" spans="31:34">
      <c r="AE87" s="72"/>
      <c r="AF87" s="72"/>
      <c r="AH87" s="72"/>
    </row>
    <row r="88" spans="31:34">
      <c r="AE88" s="72"/>
      <c r="AF88" s="72"/>
      <c r="AH88" s="72"/>
    </row>
    <row r="89" spans="31:34">
      <c r="AE89" s="72"/>
      <c r="AF89" s="72"/>
      <c r="AH89" s="72"/>
    </row>
    <row r="90" spans="31:34">
      <c r="AE90" s="72"/>
      <c r="AF90" s="72"/>
      <c r="AH90" s="72"/>
    </row>
    <row r="91" spans="31:34">
      <c r="AE91" s="72"/>
      <c r="AF91" s="72"/>
      <c r="AH91" s="72"/>
    </row>
    <row r="92" spans="31:34">
      <c r="AE92" s="72"/>
      <c r="AF92" s="72"/>
      <c r="AH92" s="72"/>
    </row>
    <row r="93" spans="31:34">
      <c r="AE93" s="72"/>
      <c r="AF93" s="72"/>
      <c r="AH93" s="72"/>
    </row>
    <row r="94" spans="31:34">
      <c r="AE94" s="72"/>
      <c r="AF94" s="72"/>
      <c r="AH94" s="72"/>
    </row>
    <row r="95" spans="31:34">
      <c r="AE95" s="72"/>
      <c r="AF95" s="72"/>
      <c r="AH95" s="72"/>
    </row>
    <row r="96" spans="31:34">
      <c r="AE96" s="72"/>
      <c r="AF96" s="72"/>
      <c r="AH96" s="72"/>
    </row>
    <row r="97" spans="31:34">
      <c r="AE97" s="72"/>
      <c r="AF97" s="72"/>
      <c r="AH97" s="72"/>
    </row>
    <row r="98" spans="31:34">
      <c r="AE98" s="72"/>
      <c r="AF98" s="72"/>
      <c r="AH98" s="72"/>
    </row>
    <row r="99" spans="31:34">
      <c r="AE99" s="72"/>
      <c r="AF99" s="72"/>
      <c r="AH99" s="72"/>
    </row>
    <row r="100" spans="31:34">
      <c r="AE100" s="72"/>
      <c r="AF100" s="72"/>
      <c r="AH100" s="72"/>
    </row>
    <row r="101" spans="31:34">
      <c r="AE101" s="72"/>
      <c r="AF101" s="72"/>
      <c r="AH101" s="72"/>
    </row>
    <row r="102" spans="31:34">
      <c r="AE102" s="72"/>
      <c r="AF102" s="72"/>
      <c r="AH102" s="72"/>
    </row>
    <row r="103" spans="31:34">
      <c r="AE103" s="72"/>
      <c r="AF103" s="72"/>
      <c r="AH103" s="72"/>
    </row>
    <row r="104" spans="31:34">
      <c r="AE104" s="72"/>
      <c r="AF104" s="72"/>
      <c r="AH104" s="72"/>
    </row>
    <row r="105" spans="31:34">
      <c r="AE105" s="72"/>
      <c r="AF105" s="72"/>
      <c r="AH105" s="72"/>
    </row>
    <row r="106" spans="31:34">
      <c r="AE106" s="72"/>
      <c r="AF106" s="72"/>
      <c r="AH106" s="72"/>
    </row>
    <row r="107" spans="31:34">
      <c r="AE107" s="72"/>
      <c r="AF107" s="72"/>
      <c r="AH107" s="72"/>
    </row>
    <row r="108" spans="31:34">
      <c r="AE108" s="72"/>
      <c r="AF108" s="72"/>
      <c r="AH108" s="72"/>
    </row>
    <row r="109" spans="31:34">
      <c r="AE109" s="72"/>
      <c r="AF109" s="72"/>
      <c r="AH109" s="72"/>
    </row>
    <row r="110" spans="31:34">
      <c r="AE110" s="72"/>
      <c r="AF110" s="72"/>
      <c r="AH110" s="72"/>
    </row>
    <row r="111" spans="31:34">
      <c r="AE111" s="72"/>
      <c r="AF111" s="72"/>
      <c r="AH111" s="72"/>
    </row>
    <row r="112" spans="31:34">
      <c r="AE112" s="72"/>
      <c r="AF112" s="72"/>
      <c r="AH112" s="72"/>
    </row>
    <row r="113" spans="31:34">
      <c r="AE113" s="72"/>
      <c r="AF113" s="72"/>
      <c r="AH113" s="72"/>
    </row>
    <row r="114" spans="31:34">
      <c r="AE114" s="72"/>
      <c r="AF114" s="72"/>
      <c r="AH114" s="72"/>
    </row>
    <row r="115" spans="31:34">
      <c r="AE115" s="72"/>
      <c r="AF115" s="72"/>
      <c r="AH115" s="72"/>
    </row>
    <row r="116" spans="31:34">
      <c r="AE116" s="72"/>
      <c r="AF116" s="72"/>
      <c r="AH116" s="72"/>
    </row>
    <row r="117" spans="31:34">
      <c r="AE117" s="72"/>
      <c r="AF117" s="72"/>
      <c r="AH117" s="72"/>
    </row>
    <row r="118" spans="31:34">
      <c r="AE118" s="72"/>
      <c r="AF118" s="72"/>
    </row>
    <row r="119" spans="31:34">
      <c r="AE119" s="267" t="s">
        <v>225</v>
      </c>
      <c r="AF119" s="228" t="e">
        <f>#REF!+#REF!</f>
        <v>#REF!</v>
      </c>
      <c r="AG119" s="68" t="e">
        <f>#REF!</f>
        <v>#REF!</v>
      </c>
      <c r="AH119" s="268" t="s">
        <v>226</v>
      </c>
    </row>
    <row r="120" spans="31:34">
      <c r="AE120" s="267" t="s">
        <v>227</v>
      </c>
      <c r="AF120" s="228">
        <v>73981.998633206778</v>
      </c>
      <c r="AG120" s="68">
        <v>0</v>
      </c>
      <c r="AH120" s="268" t="s">
        <v>228</v>
      </c>
    </row>
    <row r="121" spans="31:34">
      <c r="AE121" s="267" t="s">
        <v>229</v>
      </c>
      <c r="AF121" s="228">
        <v>500</v>
      </c>
      <c r="AG121" s="68">
        <v>100</v>
      </c>
      <c r="AH121" s="268" t="s">
        <v>230</v>
      </c>
    </row>
    <row r="122" spans="31:34">
      <c r="AE122" s="267" t="s">
        <v>231</v>
      </c>
      <c r="AF122" s="269">
        <v>1413187.5</v>
      </c>
      <c r="AG122" s="269">
        <v>1223187.5</v>
      </c>
      <c r="AH122" s="270" t="s">
        <v>232</v>
      </c>
    </row>
    <row r="123" spans="31:34">
      <c r="AE123" s="270"/>
      <c r="AF123" s="228" t="e">
        <f>AF119-AF120+AF121-AF122</f>
        <v>#REF!</v>
      </c>
      <c r="AG123" s="228" t="e">
        <f>AG119-AG120+AG121-AG122</f>
        <v>#REF!</v>
      </c>
      <c r="AH123" s="270"/>
    </row>
  </sheetData>
  <sheetProtection selectLockedCells="1" selectUnlockedCells="1"/>
  <mergeCells count="10">
    <mergeCell ref="C1:T1"/>
    <mergeCell ref="C2:T2"/>
    <mergeCell ref="C3:T3"/>
    <mergeCell ref="C4:T4"/>
    <mergeCell ref="C5:T5"/>
    <mergeCell ref="C6:F6"/>
    <mergeCell ref="G6:I6"/>
    <mergeCell ref="J6:L6"/>
    <mergeCell ref="M6:O6"/>
    <mergeCell ref="P6:R6"/>
  </mergeCells>
  <printOptions horizontalCentered="1"/>
  <pageMargins left="0.35" right="0.35" top="1.25" bottom="0.88611111111111107" header="0.4" footer="0.35"/>
  <pageSetup scale="65" firstPageNumber="0" orientation="landscape" horizontalDpi="300" verticalDpi="300"/>
  <headerFooter alignWithMargins="0">
    <oddHeader>&amp;L&amp;"Arial black,Bold"&amp;16HARMONY
&amp;"Arial,Regular"&amp;15Community Development District</oddHeader>
    <oddFooter>&amp;L&amp;11Annual Operating and Debt Service Budget
Fiscal Year 2017</oddFooter>
  </headerFooter>
  <rowBreaks count="1" manualBreakCount="1">
    <brk id="34" max="16383" man="1"/>
  </rowBreaks>
  <colBreaks count="1" manualBreakCount="1">
    <brk id="20" max="1048575" man="1"/>
  </colBreaks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L201"/>
  <sheetViews>
    <sheetView zoomScaleSheetLayoutView="85" workbookViewId="0">
      <pane ySplit="15" topLeftCell="A16" activePane="bottomLeft" state="frozen"/>
      <selection pane="bottomLeft"/>
    </sheetView>
  </sheetViews>
  <sheetFormatPr defaultRowHeight="15"/>
  <cols>
    <col min="1" max="8" width="0" style="63" hidden="1" customWidth="1"/>
    <col min="9" max="9" width="35.7109375" style="63" customWidth="1"/>
    <col min="10" max="10" width="1.28515625" style="63" customWidth="1"/>
    <col min="11" max="13" width="0" style="63" hidden="1" customWidth="1"/>
    <col min="14" max="14" width="15.7109375" style="63" customWidth="1"/>
    <col min="15" max="15" width="1.28515625" style="63" customWidth="1"/>
    <col min="16" max="22" width="0" style="63" hidden="1" customWidth="1"/>
    <col min="23" max="23" width="15.7109375" style="63" customWidth="1"/>
    <col min="24" max="24" width="1.28515625" style="63" customWidth="1"/>
    <col min="25" max="25" width="0" style="63" hidden="1" customWidth="1"/>
    <col min="26" max="26" width="15.7109375" style="63" customWidth="1"/>
    <col min="27" max="27" width="1.28515625" style="63" customWidth="1"/>
    <col min="28" max="28" width="0" style="63" hidden="1" customWidth="1"/>
    <col min="29" max="29" width="15.7109375" style="63" customWidth="1"/>
    <col min="30" max="30" width="0" style="63" hidden="1" customWidth="1"/>
    <col min="31" max="32" width="9.140625" style="63"/>
    <col min="33" max="33" width="18.5703125" style="63" customWidth="1"/>
    <col min="34" max="34" width="2.140625" style="63" customWidth="1"/>
    <col min="35" max="35" width="18.5703125" style="63" customWidth="1"/>
    <col min="36" max="16384" width="9.140625" style="63"/>
  </cols>
  <sheetData>
    <row r="1" spans="1:38" hidden="1">
      <c r="A1" s="63" t="s">
        <v>596</v>
      </c>
      <c r="B1" s="63" t="s">
        <v>53</v>
      </c>
      <c r="C1" s="63" t="s">
        <v>31</v>
      </c>
      <c r="D1" s="63" t="s">
        <v>31</v>
      </c>
      <c r="E1" s="63" t="s">
        <v>31</v>
      </c>
      <c r="F1" s="63" t="s">
        <v>31</v>
      </c>
      <c r="G1" s="63" t="str">
        <f>IF(F$4="no","Hide","Show")</f>
        <v>Hide</v>
      </c>
      <c r="H1" s="63" t="str">
        <f>G1</f>
        <v>Hide</v>
      </c>
      <c r="I1" s="63" t="s">
        <v>597</v>
      </c>
      <c r="J1" s="63" t="s">
        <v>598</v>
      </c>
      <c r="K1" s="1025" t="s">
        <v>31</v>
      </c>
      <c r="L1" s="1025" t="s">
        <v>31</v>
      </c>
      <c r="M1" s="63" t="s">
        <v>31</v>
      </c>
      <c r="P1" s="63" t="s">
        <v>599</v>
      </c>
      <c r="Q1" s="63" t="s">
        <v>76</v>
      </c>
      <c r="R1" s="63" t="s">
        <v>76</v>
      </c>
      <c r="S1" s="63" t="s">
        <v>599</v>
      </c>
      <c r="T1" s="63" t="s">
        <v>76</v>
      </c>
      <c r="U1" s="63" t="s">
        <v>76</v>
      </c>
      <c r="V1" s="63" t="s">
        <v>599</v>
      </c>
      <c r="W1" s="63" t="s">
        <v>76</v>
      </c>
      <c r="X1" s="63" t="s">
        <v>76</v>
      </c>
      <c r="Y1" s="63" t="s">
        <v>599</v>
      </c>
      <c r="Z1" s="63" t="s">
        <v>76</v>
      </c>
      <c r="AA1" s="63" t="s">
        <v>76</v>
      </c>
      <c r="AD1" s="63" t="s">
        <v>31</v>
      </c>
    </row>
    <row r="2" spans="1:38" hidden="1">
      <c r="A2" s="63" t="s">
        <v>53</v>
      </c>
      <c r="B2" s="63" t="str">
        <f>IF(AC196&lt;10,"hidesheet","showsheet")</f>
        <v>hidesheet</v>
      </c>
      <c r="D2" s="63" t="s">
        <v>55</v>
      </c>
      <c r="F2" s="63" t="s">
        <v>600</v>
      </c>
      <c r="I2" s="1026" t="s">
        <v>601</v>
      </c>
      <c r="J2" s="1026"/>
      <c r="K2" s="1027"/>
      <c r="L2" s="1027"/>
      <c r="N2" s="63" t="str">
        <f>IF(N$183=0,"Hide","Show")</f>
        <v>Show</v>
      </c>
      <c r="O2" s="63" t="str">
        <f>IF($AC$9=1,"HIDE",N2)</f>
        <v>Show</v>
      </c>
      <c r="Q2" s="63" t="str">
        <f>IF(Q$183=0,"Hide","Show")</f>
        <v>Hide</v>
      </c>
      <c r="R2" s="63" t="str">
        <f>IF($AC$9=1,"HIDE",Q2)</f>
        <v>Hide</v>
      </c>
      <c r="T2" s="63" t="str">
        <f>IF(T$183=0,"Hide","Show")</f>
        <v>Hide</v>
      </c>
      <c r="U2" s="63" t="str">
        <f>IF($AC$9=1,"HIDE",T2)</f>
        <v>Hide</v>
      </c>
      <c r="W2" s="63" t="str">
        <f>IF(W$183=0,"Hide","Show")</f>
        <v>Show</v>
      </c>
      <c r="X2" s="63" t="str">
        <f>IF($AC$9=1,"HIDE",W2)</f>
        <v>Show</v>
      </c>
      <c r="Z2" s="63" t="str">
        <f>IF(Z$183=0,"Hide","Show")</f>
        <v>Show</v>
      </c>
      <c r="AA2" s="63" t="str">
        <f>IF($AC$9=1,"HIDE",Z2)</f>
        <v>Show</v>
      </c>
      <c r="AB2" s="63" t="s">
        <v>31</v>
      </c>
      <c r="AC2" s="63" t="str">
        <f>IF(AC$183=0,"Hide",IF($AC$9=1,"hide","Show"))</f>
        <v>Show</v>
      </c>
    </row>
    <row r="3" spans="1:38" hidden="1">
      <c r="A3" s="63" t="s">
        <v>31</v>
      </c>
      <c r="B3" s="63" t="s">
        <v>602</v>
      </c>
      <c r="C3" s="63" t="s">
        <v>603</v>
      </c>
      <c r="D3" s="1028" t="s">
        <v>481</v>
      </c>
      <c r="E3" s="1029" t="s">
        <v>604</v>
      </c>
      <c r="F3" s="63" t="str">
        <f>IF(E12&lt;&gt;"Balance Sheet","Yes","No")</f>
        <v>No</v>
      </c>
      <c r="I3" s="1030" t="str">
        <f>(TEXT($D$3,"MMMM DD, YYYY"))</f>
        <v>02/29/2016</v>
      </c>
      <c r="J3" s="1026"/>
      <c r="K3" s="1027"/>
      <c r="L3" s="1027"/>
    </row>
    <row r="4" spans="1:38" hidden="1">
      <c r="A4" s="63" t="s">
        <v>31</v>
      </c>
      <c r="B4" s="1031" t="s">
        <v>605</v>
      </c>
      <c r="C4" s="63">
        <f>IF(ISERROR(FIND("CDD",$C$3)),0,FIND("CDD",$C$3))</f>
        <v>9</v>
      </c>
      <c r="D4" s="1032" t="s">
        <v>57</v>
      </c>
      <c r="E4" s="1033" t="s">
        <v>606</v>
      </c>
      <c r="F4" s="1032" t="s">
        <v>92</v>
      </c>
      <c r="G4" s="1032"/>
      <c r="H4" s="1032"/>
      <c r="I4" s="63" t="s">
        <v>607</v>
      </c>
      <c r="K4" s="1027"/>
      <c r="L4" s="1027"/>
    </row>
    <row r="5" spans="1:38" hidden="1">
      <c r="A5" s="63" t="s">
        <v>31</v>
      </c>
      <c r="B5" s="1031" t="s">
        <v>608</v>
      </c>
      <c r="C5" s="63">
        <f>IF(ISERROR(FIND("WCD",$C$3)),0,FIND("WCD",$C$3))</f>
        <v>0</v>
      </c>
      <c r="D5" s="1032" t="s">
        <v>59</v>
      </c>
      <c r="E5" s="1033" t="s">
        <v>609</v>
      </c>
      <c r="F5" s="63" t="s">
        <v>92</v>
      </c>
      <c r="G5" s="1032"/>
      <c r="H5" s="1032"/>
      <c r="I5" s="63" t="s">
        <v>275</v>
      </c>
      <c r="K5" s="1027"/>
      <c r="L5" s="1027"/>
    </row>
    <row r="6" spans="1:38" hidden="1">
      <c r="A6" s="63" t="s">
        <v>31</v>
      </c>
      <c r="B6" s="34"/>
      <c r="C6" s="1034" t="str">
        <f>TRIM(IF($C$12=0,IF($C$4+$C$5+$C$11=0,$C$3,IF($C$4=0,IF($C$11=0,REPLACE($C$3,$C$5,4,$C$2),REPLACE($C$3,$C$11,4,$C$2)),REPLACE($C$3,$C$4,4,$C$2))),$C$12))</f>
        <v>Harmony</v>
      </c>
      <c r="D6" s="1032" t="str">
        <f>TEXT($D$3,"mm/dd/yyyy")</f>
        <v>02/29/2016</v>
      </c>
      <c r="E6" s="1032" t="str">
        <f>E7&amp;E8&amp;E9&amp;E10</f>
        <v>Governmental Funds</v>
      </c>
      <c r="F6" s="1032" t="s">
        <v>274</v>
      </c>
      <c r="G6" s="1032"/>
      <c r="H6" s="1032"/>
      <c r="I6" s="63" t="s">
        <v>263</v>
      </c>
      <c r="K6" s="1027"/>
      <c r="L6" s="1027"/>
    </row>
    <row r="7" spans="1:38" hidden="1">
      <c r="A7" s="63" t="s">
        <v>31</v>
      </c>
      <c r="C7" s="63" t="str">
        <f>PROPER(LOWER("COMMUNITY DEVELOPMENT DISTRICT"))</f>
        <v>Community Development District</v>
      </c>
      <c r="D7" s="1035" t="str">
        <f>CONCATENATE("01/01/1911..",TEXT($D$3,"MM/DD/YYYY"))</f>
        <v>01/01/1911..02/29/2016</v>
      </c>
      <c r="E7" s="63" t="str">
        <f>IF($I110="NET ASSETS","","Governmental ")</f>
        <v xml:space="preserve">Governmental </v>
      </c>
      <c r="F7" s="1032"/>
      <c r="G7" s="1032"/>
      <c r="H7" s="1032"/>
      <c r="I7" s="63" t="s">
        <v>610</v>
      </c>
      <c r="K7" s="1027"/>
      <c r="L7" s="1027"/>
    </row>
    <row r="8" spans="1:38" hidden="1">
      <c r="A8" s="63" t="s">
        <v>31</v>
      </c>
      <c r="C8" s="63" t="str">
        <f>PROPER(LOWER("WATER CONTROL DISTRICT"))</f>
        <v>Water Control District</v>
      </c>
      <c r="D8" s="1036" t="s">
        <v>60</v>
      </c>
      <c r="E8" s="1036" t="str">
        <f>IF(OR(E7="",E9=""),"","and ")</f>
        <v/>
      </c>
      <c r="F8" s="1036"/>
      <c r="G8" s="1036"/>
      <c r="H8" s="1036"/>
      <c r="I8" s="63" t="s">
        <v>65</v>
      </c>
      <c r="K8" s="1027"/>
      <c r="L8" s="1027"/>
    </row>
    <row r="9" spans="1:38" hidden="1">
      <c r="A9" s="63" t="s">
        <v>31</v>
      </c>
      <c r="B9" s="34"/>
      <c r="C9" s="1037" t="str">
        <f>IF($C$13=0,IF($C$4+$C$5+$C$11=0,"",IF($C$4=0,IF($C$5=0,$C$10,$C$8),$C$7)),$C$13)</f>
        <v>Community Development District</v>
      </c>
      <c r="D9" s="1032" t="str">
        <f>+D8</f>
        <v>001..299|400..450</v>
      </c>
      <c r="E9" s="1034" t="str">
        <f>IF($AD163=0,"","Enterprise ")</f>
        <v/>
      </c>
      <c r="I9" s="1032" t="s">
        <v>611</v>
      </c>
      <c r="J9" s="1026"/>
      <c r="K9" s="1027"/>
      <c r="L9" s="1027"/>
      <c r="N9" s="63">
        <f>IF(N183=0,"",VALUE(M15))</f>
        <v>1</v>
      </c>
      <c r="Q9" s="63" t="str">
        <f>IF(Q183=0,"",VALUE(P15))</f>
        <v/>
      </c>
      <c r="T9" s="63" t="str">
        <f>IF(T183=0,"",VALUE(S15))</f>
        <v/>
      </c>
      <c r="W9" s="63">
        <f>IF(W183=0,"",VALUE(V15))</f>
        <v>203</v>
      </c>
      <c r="Z9" s="63">
        <f>IF(Z183=0,"",VALUE(Y15))</f>
        <v>204</v>
      </c>
      <c r="AC9" s="1038">
        <f>COUNT(M9:AB9)</f>
        <v>3</v>
      </c>
    </row>
    <row r="10" spans="1:38" ht="17.25" hidden="1">
      <c r="A10" s="63" t="s">
        <v>31</v>
      </c>
      <c r="C10" s="63" t="s">
        <v>612</v>
      </c>
      <c r="D10" s="1039"/>
      <c r="E10" s="63" t="str">
        <f>IF(OR($AC$9&gt;1,$F$5="YES"),"Funds","Fund")</f>
        <v>Funds</v>
      </c>
      <c r="F10" s="1040"/>
      <c r="G10" s="1040"/>
      <c r="H10" s="1040"/>
      <c r="I10" s="1032" t="s">
        <v>613</v>
      </c>
      <c r="J10" s="1040"/>
      <c r="K10" s="1040"/>
      <c r="L10" s="1040"/>
      <c r="M10" s="1040"/>
      <c r="N10" s="63" t="str">
        <f>M15</f>
        <v>001</v>
      </c>
      <c r="P10" s="1040"/>
      <c r="Q10" s="63" t="str">
        <f>P15</f>
        <v>201</v>
      </c>
      <c r="S10" s="1040"/>
      <c r="T10" s="63" t="str">
        <f>S15</f>
        <v>202</v>
      </c>
      <c r="V10" s="1040"/>
      <c r="W10" s="63" t="str">
        <f>V15</f>
        <v>203</v>
      </c>
      <c r="Y10" s="1040"/>
      <c r="Z10" s="63" t="str">
        <f>Y15</f>
        <v>204</v>
      </c>
      <c r="AB10" s="1040"/>
      <c r="AC10" s="1038"/>
    </row>
    <row r="11" spans="1:38" ht="17.25" hidden="1">
      <c r="A11" s="63" t="s">
        <v>31</v>
      </c>
      <c r="B11" s="1031" t="s">
        <v>614</v>
      </c>
      <c r="C11" s="63">
        <f>IF(ISERROR(FIND("CID",$C$3)),0,FIND("CID",$C$3))</f>
        <v>0</v>
      </c>
      <c r="D11" s="1040"/>
      <c r="E11" s="1032"/>
      <c r="F11" s="1040"/>
      <c r="G11" s="1040"/>
      <c r="H11" s="1040"/>
      <c r="I11" s="1040"/>
      <c r="J11" s="1040"/>
      <c r="K11" s="1040"/>
      <c r="L11" s="1040"/>
      <c r="M11" s="1040"/>
      <c r="N11" s="1041">
        <f>N176</f>
        <v>1172130</v>
      </c>
      <c r="O11" s="1041"/>
      <c r="P11" s="1040"/>
      <c r="Q11" s="1041">
        <f>Q176</f>
        <v>0</v>
      </c>
      <c r="R11" s="1041"/>
      <c r="S11" s="1040"/>
      <c r="T11" s="1041">
        <f>T176</f>
        <v>0</v>
      </c>
      <c r="U11" s="1041"/>
      <c r="V11" s="1040"/>
      <c r="W11" s="1041">
        <f>W176</f>
        <v>1690940</v>
      </c>
      <c r="X11" s="1041"/>
      <c r="Y11" s="1040"/>
      <c r="Z11" s="1041">
        <f>Z176</f>
        <v>485290</v>
      </c>
      <c r="AA11" s="1041"/>
      <c r="AB11" s="1040"/>
      <c r="AC11" s="1042"/>
    </row>
    <row r="12" spans="1:38" hidden="1">
      <c r="A12" s="63" t="s">
        <v>493</v>
      </c>
      <c r="C12" s="63">
        <f>OVERRIDE_DN</f>
        <v>0</v>
      </c>
      <c r="D12" s="1043"/>
      <c r="E12" s="1044" t="str">
        <f>IF($I110="Net Assets","Statement of Net Assets","Balance Sheet")</f>
        <v>Balance Sheet</v>
      </c>
      <c r="I12" s="1026"/>
      <c r="J12" s="1026"/>
      <c r="K12" s="1027"/>
      <c r="L12" s="1027"/>
    </row>
    <row r="13" spans="1:38" hidden="1">
      <c r="A13" s="63" t="s">
        <v>493</v>
      </c>
      <c r="C13" s="63">
        <v>0</v>
      </c>
      <c r="D13" s="1043"/>
      <c r="E13" s="1044"/>
      <c r="I13" s="1026"/>
      <c r="J13" s="1026"/>
      <c r="K13" s="1027"/>
      <c r="L13" s="1027"/>
    </row>
    <row r="14" spans="1:38" hidden="1">
      <c r="A14" s="63" t="s">
        <v>493</v>
      </c>
      <c r="D14" s="1043"/>
      <c r="E14" s="1043"/>
      <c r="G14" s="1045"/>
      <c r="H14" s="1046"/>
      <c r="I14" s="1047"/>
      <c r="J14" s="1048"/>
      <c r="K14" s="1027"/>
      <c r="L14" s="1027"/>
      <c r="M14" s="1049"/>
      <c r="N14" s="1049"/>
      <c r="O14" s="1049"/>
      <c r="P14" s="1049"/>
      <c r="Q14" s="1049"/>
      <c r="R14" s="1049"/>
      <c r="S14" s="1049"/>
      <c r="T14" s="1049"/>
      <c r="U14" s="1049"/>
      <c r="V14" s="1049"/>
      <c r="W14" s="1049"/>
      <c r="X14" s="1049"/>
      <c r="Y14" s="1049"/>
      <c r="Z14" s="1049"/>
      <c r="AA14" s="1049"/>
      <c r="AB14" s="1049"/>
      <c r="AC14" s="1049"/>
      <c r="AD14" s="1049"/>
      <c r="AE14" s="1049"/>
      <c r="AF14" s="1049"/>
      <c r="AG14" s="1049"/>
      <c r="AH14" s="1049"/>
      <c r="AI14" s="1049"/>
      <c r="AJ14" s="1049"/>
      <c r="AK14" s="1049"/>
      <c r="AL14" s="1049"/>
    </row>
    <row r="15" spans="1:38" ht="45">
      <c r="A15" s="63" t="s">
        <v>63</v>
      </c>
      <c r="D15" s="1043"/>
      <c r="E15" s="1043"/>
      <c r="G15" s="1050" t="s">
        <v>615</v>
      </c>
      <c r="H15" s="1051"/>
      <c r="I15" s="1052" t="s">
        <v>300</v>
      </c>
      <c r="J15" s="1026"/>
      <c r="K15" s="1025"/>
      <c r="L15" s="1025"/>
      <c r="M15" s="1053" t="s">
        <v>75</v>
      </c>
      <c r="N15" s="1050" t="s">
        <v>616</v>
      </c>
      <c r="O15" s="1054"/>
      <c r="P15" s="1053" t="str">
        <f>"201"</f>
        <v>201</v>
      </c>
      <c r="Q15" s="1050"/>
      <c r="R15" s="1054"/>
      <c r="S15" s="1053" t="str">
        <f>"202"</f>
        <v>202</v>
      </c>
      <c r="T15" s="1050"/>
      <c r="U15" s="1054"/>
      <c r="V15" s="1053" t="str">
        <f>"203"</f>
        <v>203</v>
      </c>
      <c r="W15" s="1050" t="s">
        <v>617</v>
      </c>
      <c r="X15" s="1054"/>
      <c r="Y15" s="1053" t="str">
        <f>"204"</f>
        <v>204</v>
      </c>
      <c r="Z15" s="1050" t="s">
        <v>618</v>
      </c>
      <c r="AA15" s="1054"/>
      <c r="AB15" s="1055"/>
      <c r="AC15" s="1050" t="s">
        <v>289</v>
      </c>
      <c r="AD15" s="1044"/>
    </row>
    <row r="16" spans="1:38">
      <c r="M16" s="63">
        <f>IF(M$15="",0,VALUE(M$15))</f>
        <v>1</v>
      </c>
      <c r="N16" s="1056"/>
      <c r="O16" s="1056"/>
      <c r="P16" s="1056">
        <f>IF(P$15="",0,VALUE(P$15))</f>
        <v>201</v>
      </c>
      <c r="Q16" s="1056"/>
      <c r="R16" s="1056"/>
      <c r="S16" s="1056">
        <f>IF(S$15="",0,VALUE(S$15))</f>
        <v>202</v>
      </c>
      <c r="T16" s="1056"/>
      <c r="U16" s="1056"/>
      <c r="V16" s="1056">
        <f>IF(V$15="",0,VALUE(V$15))</f>
        <v>203</v>
      </c>
      <c r="W16" s="1056"/>
      <c r="X16" s="1056"/>
      <c r="Y16" s="1056">
        <f>IF(Y$15="",0,VALUE(Y$15))</f>
        <v>204</v>
      </c>
      <c r="Z16" s="1056"/>
      <c r="AA16" s="1056"/>
      <c r="AB16" s="1056"/>
      <c r="AC16" s="1056"/>
    </row>
    <row r="17" spans="1:30" hidden="1">
      <c r="B17" s="1057" t="s">
        <v>493</v>
      </c>
      <c r="D17" s="63" t="s">
        <v>71</v>
      </c>
      <c r="N17" s="1056"/>
      <c r="O17" s="1056"/>
      <c r="P17" s="1056"/>
      <c r="Q17" s="1056"/>
      <c r="R17" s="1056"/>
      <c r="S17" s="1056"/>
      <c r="T17" s="1056"/>
      <c r="U17" s="1056"/>
      <c r="V17" s="1056"/>
      <c r="W17" s="1056"/>
      <c r="X17" s="1056"/>
      <c r="Y17" s="1056"/>
      <c r="Z17" s="1056"/>
      <c r="AA17" s="1056"/>
      <c r="AB17" s="1056"/>
      <c r="AC17" s="1056"/>
    </row>
    <row r="18" spans="1:30">
      <c r="B18" s="63" t="str">
        <f>IF(AD81=0,"Hide","Show")</f>
        <v>Show</v>
      </c>
      <c r="C18" s="1058" t="s">
        <v>619</v>
      </c>
      <c r="E18" s="1059"/>
      <c r="I18" s="1060" t="str">
        <f>IF($AC196&lt;10,"ASSETS","ERROR, ERROR, THIS REPORT CONTAINS AN ERROR")</f>
        <v>ASSETS</v>
      </c>
      <c r="N18" s="1056"/>
      <c r="O18" s="1056"/>
      <c r="P18" s="1056"/>
      <c r="Q18" s="1056"/>
      <c r="R18" s="1056"/>
      <c r="S18" s="1056"/>
      <c r="T18" s="1056"/>
      <c r="U18" s="1056"/>
      <c r="V18" s="1056"/>
      <c r="W18" s="1056"/>
      <c r="X18" s="1056"/>
      <c r="Y18" s="1056"/>
      <c r="Z18" s="1056"/>
      <c r="AA18" s="1056"/>
      <c r="AB18" s="1056"/>
      <c r="AC18" s="1056"/>
    </row>
    <row r="19" spans="1:30" ht="9.9499999999999993" hidden="1" customHeight="1">
      <c r="B19" s="63" t="str">
        <f t="shared" ref="B19:B20" si="0">IF($F$3="No","Hide","Show")</f>
        <v>Hide</v>
      </c>
      <c r="E19" s="1059"/>
      <c r="I19" s="1061"/>
      <c r="N19" s="1056"/>
      <c r="O19" s="1056"/>
      <c r="P19" s="1056"/>
      <c r="Q19" s="1056"/>
      <c r="R19" s="1056"/>
      <c r="S19" s="1056"/>
      <c r="T19" s="1056"/>
      <c r="U19" s="1056"/>
      <c r="V19" s="1056"/>
      <c r="W19" s="1056"/>
      <c r="X19" s="1056"/>
      <c r="Y19" s="1056"/>
      <c r="Z19" s="1056"/>
      <c r="AA19" s="1056"/>
      <c r="AB19" s="1056"/>
      <c r="AC19" s="1056"/>
    </row>
    <row r="20" spans="1:30" hidden="1">
      <c r="B20" s="63" t="str">
        <f t="shared" si="0"/>
        <v>Hide</v>
      </c>
      <c r="E20" s="1059"/>
      <c r="I20" s="1026" t="s">
        <v>620</v>
      </c>
      <c r="N20" s="1056"/>
      <c r="O20" s="1056"/>
      <c r="P20" s="1056"/>
      <c r="Q20" s="1056"/>
      <c r="R20" s="1056"/>
      <c r="S20" s="1056"/>
      <c r="T20" s="1056"/>
      <c r="U20" s="1056"/>
      <c r="V20" s="1056"/>
      <c r="W20" s="1056"/>
      <c r="X20" s="1056"/>
      <c r="Y20" s="1056"/>
      <c r="Z20" s="1056"/>
      <c r="AA20" s="1056"/>
      <c r="AB20" s="1056"/>
      <c r="AC20" s="1056"/>
    </row>
    <row r="21" spans="1:30" ht="15.95" customHeight="1">
      <c r="B21" s="63" t="s">
        <v>62</v>
      </c>
      <c r="C21" s="1062"/>
      <c r="D21" s="1059" t="s">
        <v>621</v>
      </c>
      <c r="E21" s="1059"/>
      <c r="G21" s="1063" t="s">
        <v>622</v>
      </c>
      <c r="I21" s="1064" t="s">
        <v>623</v>
      </c>
      <c r="N21" s="1065">
        <v>316932</v>
      </c>
      <c r="O21" s="1056"/>
      <c r="P21" s="1056"/>
      <c r="Q21" s="1056">
        <v>0</v>
      </c>
      <c r="R21" s="1056"/>
      <c r="S21" s="1056"/>
      <c r="T21" s="1056">
        <v>0</v>
      </c>
      <c r="U21" s="1056"/>
      <c r="V21" s="1056"/>
      <c r="W21" s="1065">
        <v>0</v>
      </c>
      <c r="X21" s="1056"/>
      <c r="Y21" s="1056"/>
      <c r="Z21" s="1065">
        <v>0</v>
      </c>
      <c r="AA21" s="1056"/>
      <c r="AB21" s="1056"/>
      <c r="AC21" s="1065">
        <f t="shared" ref="AC21:AC31" si="1">SUM(N21:AB21)</f>
        <v>316932</v>
      </c>
      <c r="AD21" s="63">
        <f t="shared" ref="AD21:AD31" si="2">ABS(SUM(N21:AB21))</f>
        <v>316932</v>
      </c>
    </row>
    <row r="22" spans="1:30" ht="15.95" hidden="1" customHeight="1">
      <c r="B22" s="63" t="str">
        <f t="shared" ref="B22:B31" si="3">IF(AD22=0,"Hide","Show")</f>
        <v>Hide</v>
      </c>
      <c r="G22" s="1063" t="s">
        <v>624</v>
      </c>
      <c r="I22" s="1064" t="s">
        <v>625</v>
      </c>
      <c r="N22" s="1056">
        <v>0</v>
      </c>
      <c r="O22" s="1056"/>
      <c r="P22" s="1056"/>
      <c r="Q22" s="1056">
        <v>0</v>
      </c>
      <c r="R22" s="1056"/>
      <c r="S22" s="1056"/>
      <c r="T22" s="1056">
        <v>0</v>
      </c>
      <c r="U22" s="1056"/>
      <c r="V22" s="1056"/>
      <c r="W22" s="1056">
        <v>0</v>
      </c>
      <c r="X22" s="1056"/>
      <c r="Y22" s="1056"/>
      <c r="Z22" s="1056">
        <v>0</v>
      </c>
      <c r="AA22" s="1056"/>
      <c r="AB22" s="1056"/>
      <c r="AC22" s="1056">
        <f t="shared" si="1"/>
        <v>0</v>
      </c>
      <c r="AD22" s="63">
        <f t="shared" si="2"/>
        <v>0</v>
      </c>
    </row>
    <row r="23" spans="1:30" ht="15.95" hidden="1" customHeight="1">
      <c r="A23" s="63" t="s">
        <v>76</v>
      </c>
      <c r="B23" s="63" t="str">
        <f t="shared" si="3"/>
        <v>Hide</v>
      </c>
      <c r="G23" s="1063" t="str">
        <f>"103000"</f>
        <v>103000</v>
      </c>
      <c r="I23" s="1064" t="s">
        <v>626</v>
      </c>
      <c r="N23" s="1056">
        <v>0</v>
      </c>
      <c r="O23" s="1056"/>
      <c r="P23" s="1056"/>
      <c r="Q23" s="1056">
        <v>0</v>
      </c>
      <c r="R23" s="1056"/>
      <c r="S23" s="1056"/>
      <c r="T23" s="1056">
        <v>0</v>
      </c>
      <c r="U23" s="1056"/>
      <c r="V23" s="1056"/>
      <c r="W23" s="1056">
        <v>0</v>
      </c>
      <c r="X23" s="1056"/>
      <c r="Y23" s="1056"/>
      <c r="Z23" s="1056">
        <v>0</v>
      </c>
      <c r="AA23" s="1056"/>
      <c r="AB23" s="1056"/>
      <c r="AC23" s="1056">
        <f t="shared" si="1"/>
        <v>0</v>
      </c>
      <c r="AD23" s="63">
        <f t="shared" si="2"/>
        <v>0</v>
      </c>
    </row>
    <row r="24" spans="1:30" ht="15.95" hidden="1" customHeight="1">
      <c r="A24" s="63" t="s">
        <v>76</v>
      </c>
      <c r="B24" s="63" t="str">
        <f t="shared" si="3"/>
        <v>Hide</v>
      </c>
      <c r="G24" s="1063" t="str">
        <f>"115000"</f>
        <v>115000</v>
      </c>
      <c r="I24" s="1064" t="s">
        <v>627</v>
      </c>
      <c r="N24" s="1056">
        <v>0</v>
      </c>
      <c r="O24" s="1056"/>
      <c r="P24" s="1056"/>
      <c r="Q24" s="1056">
        <v>0</v>
      </c>
      <c r="R24" s="1056"/>
      <c r="S24" s="1056"/>
      <c r="T24" s="1056">
        <v>0</v>
      </c>
      <c r="U24" s="1056"/>
      <c r="V24" s="1056"/>
      <c r="W24" s="1056">
        <v>0</v>
      </c>
      <c r="X24" s="1056"/>
      <c r="Y24" s="1056"/>
      <c r="Z24" s="1056">
        <v>0</v>
      </c>
      <c r="AA24" s="1056"/>
      <c r="AB24" s="1056"/>
      <c r="AC24" s="1056">
        <f t="shared" si="1"/>
        <v>0</v>
      </c>
      <c r="AD24" s="63">
        <f t="shared" si="2"/>
        <v>0</v>
      </c>
    </row>
    <row r="25" spans="1:30" ht="15.95" customHeight="1">
      <c r="A25" s="63" t="s">
        <v>76</v>
      </c>
      <c r="B25" s="63" t="str">
        <f t="shared" si="3"/>
        <v>Show</v>
      </c>
      <c r="G25" s="1063" t="str">
        <f>"115150"</f>
        <v>115150</v>
      </c>
      <c r="I25" s="1064" t="s">
        <v>628</v>
      </c>
      <c r="N25" s="1056">
        <v>20</v>
      </c>
      <c r="O25" s="1056"/>
      <c r="P25" s="1056"/>
      <c r="Q25" s="1056">
        <v>0</v>
      </c>
      <c r="R25" s="1056"/>
      <c r="S25" s="1056"/>
      <c r="T25" s="1056">
        <v>0</v>
      </c>
      <c r="U25" s="1056"/>
      <c r="V25" s="1056"/>
      <c r="W25" s="1056">
        <v>0</v>
      </c>
      <c r="X25" s="1056"/>
      <c r="Y25" s="1056"/>
      <c r="Z25" s="1056">
        <v>0</v>
      </c>
      <c r="AA25" s="1056"/>
      <c r="AB25" s="1056"/>
      <c r="AC25" s="1056">
        <f t="shared" si="1"/>
        <v>20</v>
      </c>
      <c r="AD25" s="63">
        <f t="shared" si="2"/>
        <v>20</v>
      </c>
    </row>
    <row r="26" spans="1:30" ht="15.95" customHeight="1">
      <c r="A26" s="63" t="s">
        <v>76</v>
      </c>
      <c r="B26" s="63" t="str">
        <f t="shared" si="3"/>
        <v>Show</v>
      </c>
      <c r="G26" s="1063" t="str">
        <f>"121000"</f>
        <v>121000</v>
      </c>
      <c r="I26" s="1064" t="s">
        <v>629</v>
      </c>
      <c r="N26" s="1056">
        <v>68782</v>
      </c>
      <c r="O26" s="1056"/>
      <c r="P26" s="1056"/>
      <c r="Q26" s="1056">
        <v>0</v>
      </c>
      <c r="R26" s="1056"/>
      <c r="S26" s="1056"/>
      <c r="T26" s="1056">
        <v>0</v>
      </c>
      <c r="U26" s="1056"/>
      <c r="V26" s="1056"/>
      <c r="W26" s="1056">
        <v>0</v>
      </c>
      <c r="X26" s="1056"/>
      <c r="Y26" s="1056"/>
      <c r="Z26" s="1056">
        <v>0</v>
      </c>
      <c r="AA26" s="1056"/>
      <c r="AB26" s="1056"/>
      <c r="AC26" s="1056">
        <f t="shared" si="1"/>
        <v>68782</v>
      </c>
      <c r="AD26" s="63">
        <f t="shared" si="2"/>
        <v>68782</v>
      </c>
    </row>
    <row r="27" spans="1:30" ht="15.95" hidden="1" customHeight="1">
      <c r="A27" s="63" t="s">
        <v>76</v>
      </c>
      <c r="B27" s="63" t="str">
        <f t="shared" si="3"/>
        <v>Hide</v>
      </c>
      <c r="G27" s="1063" t="str">
        <f>"122000"</f>
        <v>122000</v>
      </c>
      <c r="I27" s="1064" t="s">
        <v>630</v>
      </c>
      <c r="N27" s="1056">
        <v>0</v>
      </c>
      <c r="O27" s="1056"/>
      <c r="P27" s="1056"/>
      <c r="Q27" s="1056">
        <v>0</v>
      </c>
      <c r="R27" s="1056"/>
      <c r="S27" s="1056"/>
      <c r="T27" s="1056">
        <v>0</v>
      </c>
      <c r="U27" s="1056"/>
      <c r="V27" s="1056"/>
      <c r="W27" s="1056">
        <v>0</v>
      </c>
      <c r="X27" s="1056"/>
      <c r="Y27" s="1056"/>
      <c r="Z27" s="1056">
        <v>0</v>
      </c>
      <c r="AA27" s="1056"/>
      <c r="AB27" s="1056"/>
      <c r="AC27" s="1056">
        <f t="shared" si="1"/>
        <v>0</v>
      </c>
      <c r="AD27" s="63">
        <f t="shared" si="2"/>
        <v>0</v>
      </c>
    </row>
    <row r="28" spans="1:30" ht="15.95" hidden="1" customHeight="1">
      <c r="A28" s="63" t="s">
        <v>76</v>
      </c>
      <c r="B28" s="63" t="str">
        <f t="shared" si="3"/>
        <v>Hide</v>
      </c>
      <c r="G28" s="1063" t="str">
        <f>"125000"</f>
        <v>125000</v>
      </c>
      <c r="I28" s="1064" t="s">
        <v>631</v>
      </c>
      <c r="N28" s="1056">
        <v>0</v>
      </c>
      <c r="O28" s="1056"/>
      <c r="P28" s="1056"/>
      <c r="Q28" s="1056">
        <v>0</v>
      </c>
      <c r="R28" s="1056"/>
      <c r="S28" s="1056"/>
      <c r="T28" s="1056">
        <v>0</v>
      </c>
      <c r="U28" s="1056"/>
      <c r="V28" s="1056"/>
      <c r="W28" s="1056">
        <v>0</v>
      </c>
      <c r="X28" s="1056"/>
      <c r="Y28" s="1056"/>
      <c r="Z28" s="1056">
        <v>0</v>
      </c>
      <c r="AA28" s="1056"/>
      <c r="AB28" s="1056"/>
      <c r="AC28" s="1056">
        <f t="shared" si="1"/>
        <v>0</v>
      </c>
      <c r="AD28" s="63">
        <f t="shared" si="2"/>
        <v>0</v>
      </c>
    </row>
    <row r="29" spans="1:30" ht="15.95" hidden="1" customHeight="1">
      <c r="A29" s="63" t="s">
        <v>76</v>
      </c>
      <c r="B29" s="63" t="str">
        <f t="shared" si="3"/>
        <v>Hide</v>
      </c>
      <c r="G29" s="1063" t="str">
        <f>"130000"</f>
        <v>130000</v>
      </c>
      <c r="I29" s="1064" t="s">
        <v>632</v>
      </c>
      <c r="N29" s="1056">
        <v>0</v>
      </c>
      <c r="O29" s="1056"/>
      <c r="P29" s="1056"/>
      <c r="Q29" s="1056">
        <v>0</v>
      </c>
      <c r="R29" s="1056"/>
      <c r="S29" s="1056"/>
      <c r="T29" s="1056">
        <v>0</v>
      </c>
      <c r="U29" s="1056"/>
      <c r="V29" s="1056"/>
      <c r="W29" s="1056">
        <v>0</v>
      </c>
      <c r="X29" s="1056"/>
      <c r="Y29" s="1056"/>
      <c r="Z29" s="1056">
        <v>0</v>
      </c>
      <c r="AA29" s="1056"/>
      <c r="AB29" s="1056"/>
      <c r="AC29" s="1056">
        <f t="shared" si="1"/>
        <v>0</v>
      </c>
      <c r="AD29" s="63">
        <f t="shared" si="2"/>
        <v>0</v>
      </c>
    </row>
    <row r="30" spans="1:30" ht="15.95" hidden="1" customHeight="1">
      <c r="A30" s="63" t="s">
        <v>76</v>
      </c>
      <c r="B30" s="63" t="str">
        <f t="shared" si="3"/>
        <v>Hide</v>
      </c>
      <c r="G30" s="1063" t="str">
        <f>"133000"</f>
        <v>133000</v>
      </c>
      <c r="I30" s="1064" t="s">
        <v>633</v>
      </c>
      <c r="N30" s="1056">
        <v>0</v>
      </c>
      <c r="O30" s="1056"/>
      <c r="P30" s="1056"/>
      <c r="Q30" s="1056">
        <v>0</v>
      </c>
      <c r="R30" s="1056"/>
      <c r="S30" s="1056"/>
      <c r="T30" s="1056">
        <v>0</v>
      </c>
      <c r="U30" s="1056"/>
      <c r="V30" s="1056"/>
      <c r="W30" s="1056">
        <v>0</v>
      </c>
      <c r="X30" s="1056"/>
      <c r="Y30" s="1056"/>
      <c r="Z30" s="1056">
        <v>0</v>
      </c>
      <c r="AA30" s="1056"/>
      <c r="AB30" s="1056"/>
      <c r="AC30" s="1056">
        <f t="shared" si="1"/>
        <v>0</v>
      </c>
      <c r="AD30" s="63">
        <f t="shared" si="2"/>
        <v>0</v>
      </c>
    </row>
    <row r="31" spans="1:30" ht="15.95" hidden="1" customHeight="1">
      <c r="A31" s="63" t="s">
        <v>76</v>
      </c>
      <c r="B31" s="63" t="str">
        <f t="shared" si="3"/>
        <v>Hide</v>
      </c>
      <c r="G31" s="1063" t="str">
        <f>"135000"</f>
        <v>135000</v>
      </c>
      <c r="I31" s="1064" t="s">
        <v>634</v>
      </c>
      <c r="N31" s="1056">
        <v>0</v>
      </c>
      <c r="O31" s="1056"/>
      <c r="P31" s="1056"/>
      <c r="Q31" s="1056">
        <v>0</v>
      </c>
      <c r="R31" s="1056"/>
      <c r="S31" s="1056"/>
      <c r="T31" s="1056">
        <v>0</v>
      </c>
      <c r="U31" s="1056"/>
      <c r="V31" s="1056"/>
      <c r="W31" s="1056">
        <v>0</v>
      </c>
      <c r="X31" s="1056"/>
      <c r="Y31" s="1056"/>
      <c r="Z31" s="1056">
        <v>0</v>
      </c>
      <c r="AA31" s="1056"/>
      <c r="AB31" s="1056"/>
      <c r="AC31" s="1056">
        <f t="shared" si="1"/>
        <v>0</v>
      </c>
      <c r="AD31" s="63">
        <f t="shared" si="2"/>
        <v>0</v>
      </c>
    </row>
    <row r="32" spans="1:30" ht="15.95" hidden="1" customHeight="1">
      <c r="B32" s="63" t="s">
        <v>31</v>
      </c>
      <c r="C32" s="1058" t="s">
        <v>635</v>
      </c>
      <c r="D32" s="1066" t="s">
        <v>636</v>
      </c>
      <c r="E32" s="1066"/>
      <c r="G32" s="1063"/>
      <c r="N32" s="1056"/>
      <c r="O32" s="1056"/>
      <c r="P32" s="1056"/>
      <c r="Q32" s="1056"/>
      <c r="R32" s="1056"/>
      <c r="S32" s="1056"/>
      <c r="T32" s="1056"/>
      <c r="U32" s="1056"/>
      <c r="V32" s="1056"/>
      <c r="W32" s="1056"/>
      <c r="X32" s="1056"/>
      <c r="Y32" s="1056"/>
      <c r="Z32" s="1056"/>
      <c r="AA32" s="1056"/>
      <c r="AB32" s="1056"/>
      <c r="AC32" s="1056"/>
      <c r="AD32" s="1067"/>
    </row>
    <row r="33" spans="1:30" ht="15.95" hidden="1" customHeight="1">
      <c r="B33" s="63" t="s">
        <v>31</v>
      </c>
      <c r="D33" s="1068"/>
      <c r="E33" s="1068"/>
      <c r="G33" s="1063" t="s">
        <v>637</v>
      </c>
      <c r="I33" s="1064" t="s">
        <v>638</v>
      </c>
      <c r="N33" s="1056">
        <v>0</v>
      </c>
      <c r="O33" s="1056"/>
      <c r="P33" s="1056"/>
      <c r="Q33" s="1056">
        <v>0</v>
      </c>
      <c r="R33" s="1056"/>
      <c r="S33" s="1056"/>
      <c r="T33" s="1056">
        <v>0</v>
      </c>
      <c r="U33" s="1056"/>
      <c r="V33" s="1056"/>
      <c r="W33" s="1056">
        <v>0</v>
      </c>
      <c r="X33" s="1056"/>
      <c r="Y33" s="1056"/>
      <c r="Z33" s="1056">
        <v>0</v>
      </c>
      <c r="AA33" s="1056"/>
      <c r="AB33" s="1056"/>
      <c r="AC33" s="1056">
        <f t="shared" ref="AC33:AC42" si="4">SUM(N33:AB33)</f>
        <v>0</v>
      </c>
      <c r="AD33" s="63">
        <f t="shared" ref="AD33:AD42" si="5">ABS(SUM(N33:AB33))</f>
        <v>0</v>
      </c>
    </row>
    <row r="34" spans="1:30" ht="15.95" hidden="1" customHeight="1">
      <c r="A34" s="63" t="s">
        <v>76</v>
      </c>
      <c r="B34" s="63" t="s">
        <v>31</v>
      </c>
      <c r="D34" s="1068"/>
      <c r="E34" s="1068"/>
      <c r="G34" s="1063" t="str">
        <f>"131002"</f>
        <v>131002</v>
      </c>
      <c r="I34" s="1064" t="s">
        <v>639</v>
      </c>
      <c r="N34" s="1056">
        <v>0</v>
      </c>
      <c r="O34" s="1056"/>
      <c r="P34" s="1056"/>
      <c r="Q34" s="1056">
        <v>0</v>
      </c>
      <c r="R34" s="1056"/>
      <c r="S34" s="1056"/>
      <c r="T34" s="1056">
        <v>0</v>
      </c>
      <c r="U34" s="1056"/>
      <c r="V34" s="1056"/>
      <c r="W34" s="1056">
        <v>0</v>
      </c>
      <c r="X34" s="1056"/>
      <c r="Y34" s="1056"/>
      <c r="Z34" s="1056">
        <v>0</v>
      </c>
      <c r="AA34" s="1056"/>
      <c r="AB34" s="1056"/>
      <c r="AC34" s="1056">
        <f t="shared" si="4"/>
        <v>0</v>
      </c>
      <c r="AD34" s="63">
        <f t="shared" si="5"/>
        <v>0</v>
      </c>
    </row>
    <row r="35" spans="1:30" ht="15.95" hidden="1" customHeight="1">
      <c r="A35" s="63" t="s">
        <v>76</v>
      </c>
      <c r="B35" s="63" t="s">
        <v>31</v>
      </c>
      <c r="D35" s="1068"/>
      <c r="E35" s="1068"/>
      <c r="G35" s="1063" t="str">
        <f>"131008"</f>
        <v>131008</v>
      </c>
      <c r="I35" s="1064" t="s">
        <v>640</v>
      </c>
      <c r="N35" s="1056">
        <v>0</v>
      </c>
      <c r="O35" s="1056"/>
      <c r="P35" s="1056"/>
      <c r="Q35" s="1056">
        <v>0</v>
      </c>
      <c r="R35" s="1056"/>
      <c r="S35" s="1056"/>
      <c r="T35" s="1056">
        <v>0</v>
      </c>
      <c r="U35" s="1056"/>
      <c r="V35" s="1056"/>
      <c r="W35" s="1056">
        <v>0</v>
      </c>
      <c r="X35" s="1056"/>
      <c r="Y35" s="1056"/>
      <c r="Z35" s="1056">
        <v>0</v>
      </c>
      <c r="AA35" s="1056"/>
      <c r="AB35" s="1056"/>
      <c r="AC35" s="1056">
        <f t="shared" si="4"/>
        <v>0</v>
      </c>
      <c r="AD35" s="63">
        <f t="shared" si="5"/>
        <v>0</v>
      </c>
    </row>
    <row r="36" spans="1:30" ht="15.95" hidden="1" customHeight="1">
      <c r="A36" s="63" t="s">
        <v>76</v>
      </c>
      <c r="B36" s="63" t="s">
        <v>31</v>
      </c>
      <c r="D36" s="1068"/>
      <c r="E36" s="1068"/>
      <c r="G36" s="1063" t="str">
        <f>"131009"</f>
        <v>131009</v>
      </c>
      <c r="I36" s="1064" t="s">
        <v>641</v>
      </c>
      <c r="N36" s="1056">
        <v>0</v>
      </c>
      <c r="O36" s="1056"/>
      <c r="P36" s="1056"/>
      <c r="Q36" s="1056">
        <v>0</v>
      </c>
      <c r="R36" s="1056"/>
      <c r="S36" s="1056"/>
      <c r="T36" s="1056">
        <v>0</v>
      </c>
      <c r="U36" s="1056"/>
      <c r="V36" s="1056"/>
      <c r="W36" s="1056">
        <v>0</v>
      </c>
      <c r="X36" s="1056"/>
      <c r="Y36" s="1056"/>
      <c r="Z36" s="1056">
        <v>0</v>
      </c>
      <c r="AA36" s="1056"/>
      <c r="AB36" s="1056"/>
      <c r="AC36" s="1056">
        <f t="shared" si="4"/>
        <v>0</v>
      </c>
      <c r="AD36" s="63">
        <f t="shared" si="5"/>
        <v>0</v>
      </c>
    </row>
    <row r="37" spans="1:30" ht="15.95" hidden="1" customHeight="1">
      <c r="A37" s="63" t="s">
        <v>76</v>
      </c>
      <c r="B37" s="63" t="s">
        <v>31</v>
      </c>
      <c r="D37" s="1068"/>
      <c r="E37" s="1068"/>
      <c r="G37" s="1063" t="str">
        <f>"131010"</f>
        <v>131010</v>
      </c>
      <c r="I37" s="1064" t="s">
        <v>642</v>
      </c>
      <c r="N37" s="1056">
        <v>0</v>
      </c>
      <c r="O37" s="1056"/>
      <c r="P37" s="1056"/>
      <c r="Q37" s="1056">
        <v>0</v>
      </c>
      <c r="R37" s="1056"/>
      <c r="S37" s="1056"/>
      <c r="T37" s="1056">
        <v>0</v>
      </c>
      <c r="U37" s="1056"/>
      <c r="V37" s="1056"/>
      <c r="W37" s="1056">
        <v>0</v>
      </c>
      <c r="X37" s="1056"/>
      <c r="Y37" s="1056"/>
      <c r="Z37" s="1056">
        <v>0</v>
      </c>
      <c r="AA37" s="1056"/>
      <c r="AB37" s="1056"/>
      <c r="AC37" s="1056">
        <f t="shared" si="4"/>
        <v>0</v>
      </c>
      <c r="AD37" s="63">
        <f t="shared" si="5"/>
        <v>0</v>
      </c>
    </row>
    <row r="38" spans="1:30" ht="15.95" hidden="1" customHeight="1">
      <c r="A38" s="63" t="s">
        <v>76</v>
      </c>
      <c r="B38" s="63" t="s">
        <v>31</v>
      </c>
      <c r="D38" s="1068"/>
      <c r="E38" s="1068"/>
      <c r="G38" s="1063" t="str">
        <f>"131011"</f>
        <v>131011</v>
      </c>
      <c r="I38" s="1064" t="s">
        <v>643</v>
      </c>
      <c r="N38" s="1056">
        <v>0</v>
      </c>
      <c r="O38" s="1056"/>
      <c r="P38" s="1056"/>
      <c r="Q38" s="1056">
        <v>0</v>
      </c>
      <c r="R38" s="1056"/>
      <c r="S38" s="1056"/>
      <c r="T38" s="1056">
        <v>0</v>
      </c>
      <c r="U38" s="1056"/>
      <c r="V38" s="1056"/>
      <c r="W38" s="1056">
        <v>0</v>
      </c>
      <c r="X38" s="1056"/>
      <c r="Y38" s="1056"/>
      <c r="Z38" s="1056">
        <v>0</v>
      </c>
      <c r="AA38" s="1056"/>
      <c r="AB38" s="1056"/>
      <c r="AC38" s="1056">
        <f t="shared" si="4"/>
        <v>0</v>
      </c>
      <c r="AD38" s="63">
        <f t="shared" si="5"/>
        <v>0</v>
      </c>
    </row>
    <row r="39" spans="1:30" ht="15.95" hidden="1" customHeight="1">
      <c r="A39" s="63" t="s">
        <v>76</v>
      </c>
      <c r="B39" s="63" t="s">
        <v>31</v>
      </c>
      <c r="D39" s="1068"/>
      <c r="E39" s="1068"/>
      <c r="G39" s="1063" t="str">
        <f>"131014"</f>
        <v>131014</v>
      </c>
      <c r="I39" s="1064" t="s">
        <v>644</v>
      </c>
      <c r="N39" s="1056">
        <v>0</v>
      </c>
      <c r="O39" s="1056"/>
      <c r="P39" s="1056"/>
      <c r="Q39" s="1056">
        <v>0</v>
      </c>
      <c r="R39" s="1056"/>
      <c r="S39" s="1056"/>
      <c r="T39" s="1056">
        <v>0</v>
      </c>
      <c r="U39" s="1056"/>
      <c r="V39" s="1056"/>
      <c r="W39" s="1056">
        <v>0</v>
      </c>
      <c r="X39" s="1056"/>
      <c r="Y39" s="1056"/>
      <c r="Z39" s="1056">
        <v>0</v>
      </c>
      <c r="AA39" s="1056"/>
      <c r="AB39" s="1056"/>
      <c r="AC39" s="1056">
        <f t="shared" si="4"/>
        <v>0</v>
      </c>
      <c r="AD39" s="63">
        <f t="shared" si="5"/>
        <v>0</v>
      </c>
    </row>
    <row r="40" spans="1:30" ht="15.95" hidden="1" customHeight="1">
      <c r="A40" s="63" t="s">
        <v>76</v>
      </c>
      <c r="B40" s="63" t="s">
        <v>31</v>
      </c>
      <c r="D40" s="1068"/>
      <c r="E40" s="1068"/>
      <c r="G40" s="1063" t="str">
        <f>"131015"</f>
        <v>131015</v>
      </c>
      <c r="I40" s="1064" t="s">
        <v>645</v>
      </c>
      <c r="N40" s="1056">
        <v>15240</v>
      </c>
      <c r="O40" s="1056"/>
      <c r="P40" s="1056"/>
      <c r="Q40" s="1056">
        <v>0</v>
      </c>
      <c r="R40" s="1056"/>
      <c r="S40" s="1056"/>
      <c r="T40" s="1056">
        <v>0</v>
      </c>
      <c r="U40" s="1056"/>
      <c r="V40" s="1056"/>
      <c r="W40" s="1056">
        <v>0</v>
      </c>
      <c r="X40" s="1056"/>
      <c r="Y40" s="1056"/>
      <c r="Z40" s="1056">
        <v>0</v>
      </c>
      <c r="AA40" s="1056"/>
      <c r="AB40" s="1056"/>
      <c r="AC40" s="1056">
        <f t="shared" si="4"/>
        <v>15240</v>
      </c>
      <c r="AD40" s="63">
        <f t="shared" si="5"/>
        <v>15240</v>
      </c>
    </row>
    <row r="41" spans="1:30" ht="15.95" hidden="1" customHeight="1">
      <c r="A41" s="63" t="s">
        <v>76</v>
      </c>
      <c r="B41" s="63" t="s">
        <v>31</v>
      </c>
      <c r="D41" s="1068"/>
      <c r="E41" s="1068"/>
      <c r="G41" s="1063" t="str">
        <f>"131073"</f>
        <v>131073</v>
      </c>
      <c r="I41" s="1064" t="s">
        <v>646</v>
      </c>
      <c r="N41" s="1056">
        <v>0</v>
      </c>
      <c r="O41" s="1056"/>
      <c r="P41" s="1056"/>
      <c r="Q41" s="1056">
        <v>0</v>
      </c>
      <c r="R41" s="1056"/>
      <c r="S41" s="1056"/>
      <c r="T41" s="1056">
        <v>0</v>
      </c>
      <c r="U41" s="1056"/>
      <c r="V41" s="1056"/>
      <c r="W41" s="1056">
        <v>0</v>
      </c>
      <c r="X41" s="1056"/>
      <c r="Y41" s="1056"/>
      <c r="Z41" s="1056">
        <v>0</v>
      </c>
      <c r="AA41" s="1056"/>
      <c r="AB41" s="1056"/>
      <c r="AC41" s="1056">
        <f t="shared" si="4"/>
        <v>0</v>
      </c>
      <c r="AD41" s="63">
        <f t="shared" si="5"/>
        <v>0</v>
      </c>
    </row>
    <row r="42" spans="1:30" ht="15.95" hidden="1" customHeight="1">
      <c r="A42" s="63" t="s">
        <v>76</v>
      </c>
      <c r="B42" s="63" t="s">
        <v>31</v>
      </c>
      <c r="D42" s="1068"/>
      <c r="E42" s="1068"/>
      <c r="G42" s="1063" t="str">
        <f>"207000"</f>
        <v>207000</v>
      </c>
      <c r="I42" s="1064" t="s">
        <v>647</v>
      </c>
      <c r="N42" s="1056">
        <v>0</v>
      </c>
      <c r="O42" s="1056"/>
      <c r="P42" s="1056"/>
      <c r="Q42" s="1056">
        <v>0</v>
      </c>
      <c r="R42" s="1056"/>
      <c r="S42" s="1056"/>
      <c r="T42" s="1056">
        <v>0</v>
      </c>
      <c r="U42" s="1056"/>
      <c r="V42" s="1056"/>
      <c r="W42" s="1056">
        <v>0</v>
      </c>
      <c r="X42" s="1056"/>
      <c r="Y42" s="1056"/>
      <c r="Z42" s="1056">
        <v>0</v>
      </c>
      <c r="AA42" s="1056"/>
      <c r="AB42" s="1056"/>
      <c r="AC42" s="1056">
        <f t="shared" si="4"/>
        <v>0</v>
      </c>
      <c r="AD42" s="63">
        <f t="shared" si="5"/>
        <v>0</v>
      </c>
    </row>
    <row r="43" spans="1:30" ht="15.95" hidden="1" customHeight="1">
      <c r="B43" s="63" t="s">
        <v>31</v>
      </c>
      <c r="D43" s="1068"/>
      <c r="E43" s="1068"/>
      <c r="G43" s="1063"/>
      <c r="I43" s="1064"/>
      <c r="N43" s="1056"/>
      <c r="O43" s="1056"/>
      <c r="P43" s="1056"/>
      <c r="Q43" s="1056"/>
      <c r="R43" s="1056"/>
      <c r="S43" s="1056"/>
      <c r="T43" s="1056"/>
      <c r="U43" s="1056"/>
      <c r="V43" s="1056"/>
      <c r="W43" s="1056"/>
      <c r="X43" s="1056"/>
      <c r="Y43" s="1056"/>
      <c r="Z43" s="1056"/>
      <c r="AA43" s="1056"/>
      <c r="AB43" s="1056"/>
      <c r="AC43" s="1056"/>
      <c r="AD43" s="1067"/>
    </row>
    <row r="44" spans="1:30" ht="15.95" hidden="1" customHeight="1">
      <c r="B44" s="63" t="s">
        <v>31</v>
      </c>
      <c r="G44" s="1063">
        <v>131000</v>
      </c>
      <c r="I44" s="1064" t="s">
        <v>638</v>
      </c>
      <c r="N44" s="1056">
        <f>SUM(N32:N43)</f>
        <v>15240</v>
      </c>
      <c r="O44" s="1056"/>
      <c r="P44" s="1056"/>
      <c r="Q44" s="1056">
        <f>SUM(Q32:Q43)</f>
        <v>0</v>
      </c>
      <c r="R44" s="1056"/>
      <c r="S44" s="1056"/>
      <c r="T44" s="1056">
        <f>SUM(T32:T43)</f>
        <v>0</v>
      </c>
      <c r="U44" s="1056"/>
      <c r="V44" s="1056"/>
      <c r="W44" s="1056">
        <f>SUM(W32:W43)</f>
        <v>0</v>
      </c>
      <c r="X44" s="1056"/>
      <c r="Y44" s="1056"/>
      <c r="Z44" s="1056">
        <f>SUM(Z32:Z43)</f>
        <v>0</v>
      </c>
      <c r="AA44" s="1056"/>
      <c r="AB44" s="1056">
        <f>SUM(AB32:AB43)</f>
        <v>0</v>
      </c>
      <c r="AC44" s="1056">
        <f t="shared" ref="AC44:AC45" si="6">SUM(N44:AB44)</f>
        <v>15240</v>
      </c>
      <c r="AD44" s="63">
        <f t="shared" ref="AD44:AD45" si="7">ABS(SUM(N44:AB44))</f>
        <v>15240</v>
      </c>
    </row>
    <row r="45" spans="1:30" ht="15.95" customHeight="1">
      <c r="B45" s="63" t="str">
        <f>IF(AD45=0,"Hide","Show")</f>
        <v>Show</v>
      </c>
      <c r="G45" s="1063">
        <v>131000</v>
      </c>
      <c r="I45" s="1064" t="s">
        <v>638</v>
      </c>
      <c r="N45" s="1056">
        <f>IF(N44&gt;0,N44,0)</f>
        <v>15240</v>
      </c>
      <c r="O45" s="1056"/>
      <c r="P45" s="1056"/>
      <c r="Q45" s="1056">
        <f>IF(Q44&gt;0,Q44,0)</f>
        <v>0</v>
      </c>
      <c r="R45" s="1056"/>
      <c r="S45" s="1056"/>
      <c r="T45" s="1056">
        <f>IF(T44&gt;0,T44,0)</f>
        <v>0</v>
      </c>
      <c r="U45" s="1056"/>
      <c r="V45" s="1056"/>
      <c r="W45" s="1056">
        <f>IF(W44&gt;0,W44,0)</f>
        <v>0</v>
      </c>
      <c r="X45" s="1056"/>
      <c r="Y45" s="1056"/>
      <c r="Z45" s="1056">
        <f>IF(Z44&gt;0,Z44,0)</f>
        <v>0</v>
      </c>
      <c r="AA45" s="1056"/>
      <c r="AB45" s="1056"/>
      <c r="AC45" s="1056">
        <f t="shared" si="6"/>
        <v>15240</v>
      </c>
      <c r="AD45" s="63">
        <f t="shared" si="7"/>
        <v>15240</v>
      </c>
    </row>
    <row r="46" spans="1:30" ht="15.95" hidden="1" customHeight="1">
      <c r="B46" s="63" t="str">
        <f>IF(ABS(SUM(AC46:AC48))=0,"Hide","Show")</f>
        <v>Hide</v>
      </c>
      <c r="C46" s="1058" t="s">
        <v>648</v>
      </c>
      <c r="D46" s="1069" t="s">
        <v>649</v>
      </c>
      <c r="E46" s="1038"/>
      <c r="G46" s="1069" t="s">
        <v>649</v>
      </c>
      <c r="I46" s="1064" t="s">
        <v>650</v>
      </c>
      <c r="N46" s="1056"/>
      <c r="O46" s="1056"/>
      <c r="P46" s="1056"/>
      <c r="Q46" s="1056"/>
      <c r="R46" s="1056"/>
      <c r="S46" s="1056"/>
      <c r="T46" s="1056"/>
      <c r="U46" s="1056"/>
      <c r="V46" s="1056"/>
      <c r="W46" s="1056"/>
      <c r="X46" s="1056"/>
      <c r="Y46" s="1056"/>
      <c r="Z46" s="1056"/>
      <c r="AA46" s="1056"/>
      <c r="AB46" s="1056"/>
      <c r="AC46" s="1056"/>
    </row>
    <row r="47" spans="1:30" ht="15.95" hidden="1" customHeight="1">
      <c r="B47" s="63" t="str">
        <f>IF(AD47=0,"Hide","Show")</f>
        <v>Hide</v>
      </c>
      <c r="E47" s="1066"/>
      <c r="G47" s="1063"/>
      <c r="I47" s="1070"/>
      <c r="N47" s="1056">
        <v>0</v>
      </c>
      <c r="O47" s="1056"/>
      <c r="P47" s="1056"/>
      <c r="Q47" s="1056">
        <v>0</v>
      </c>
      <c r="R47" s="1056"/>
      <c r="S47" s="1056"/>
      <c r="T47" s="1056">
        <v>0</v>
      </c>
      <c r="U47" s="1056"/>
      <c r="V47" s="1056"/>
      <c r="W47" s="1056">
        <v>0</v>
      </c>
      <c r="X47" s="1056"/>
      <c r="Y47" s="1056"/>
      <c r="Z47" s="1056">
        <v>0</v>
      </c>
      <c r="AA47" s="1056"/>
      <c r="AB47" s="1056"/>
      <c r="AC47" s="1056">
        <f>SUM(N47:AB47)</f>
        <v>0</v>
      </c>
      <c r="AD47" s="63">
        <f>ABS(SUM(N47:AB47))</f>
        <v>0</v>
      </c>
    </row>
    <row r="48" spans="1:30" ht="15.95" customHeight="1">
      <c r="B48" s="63" t="str">
        <f>IF(ABS(SUM(AC48:AC63))=0,"Hide","Show")</f>
        <v>Show</v>
      </c>
      <c r="C48" s="1058" t="s">
        <v>651</v>
      </c>
      <c r="D48" s="1069" t="s">
        <v>652</v>
      </c>
      <c r="E48" s="1038"/>
      <c r="F48" s="55" t="s">
        <v>653</v>
      </c>
      <c r="G48" s="1069" t="s">
        <v>652</v>
      </c>
      <c r="I48" s="1064" t="s">
        <v>654</v>
      </c>
      <c r="N48" s="1056"/>
      <c r="O48" s="1056"/>
      <c r="P48" s="1056"/>
      <c r="Q48" s="1056"/>
      <c r="R48" s="1056"/>
      <c r="S48" s="1056"/>
      <c r="T48" s="1056"/>
      <c r="U48" s="1056"/>
      <c r="V48" s="1056"/>
      <c r="W48" s="1056"/>
      <c r="X48" s="1056"/>
      <c r="Y48" s="1056"/>
      <c r="Z48" s="1056"/>
      <c r="AA48" s="1056"/>
      <c r="AB48" s="1056"/>
      <c r="AC48" s="1056"/>
    </row>
    <row r="49" spans="1:30" ht="15.95" hidden="1" customHeight="1">
      <c r="B49" s="63" t="str">
        <f t="shared" ref="B49:B54" si="8">IF(AD49=0,"Hide","Show")</f>
        <v>Hide</v>
      </c>
      <c r="D49" s="1043"/>
      <c r="E49" s="1043"/>
      <c r="F49" s="55"/>
      <c r="G49" s="1071" t="s">
        <v>655</v>
      </c>
      <c r="I49" s="1070" t="s">
        <v>656</v>
      </c>
      <c r="N49" s="1056">
        <v>0</v>
      </c>
      <c r="O49" s="1056"/>
      <c r="P49" s="1056"/>
      <c r="Q49" s="1056">
        <v>0</v>
      </c>
      <c r="R49" s="1056"/>
      <c r="S49" s="1056"/>
      <c r="T49" s="1056">
        <v>0</v>
      </c>
      <c r="U49" s="1056"/>
      <c r="V49" s="1056"/>
      <c r="W49" s="1056">
        <v>0</v>
      </c>
      <c r="X49" s="1056"/>
      <c r="Y49" s="1056"/>
      <c r="Z49" s="1056">
        <v>0</v>
      </c>
      <c r="AA49" s="1056"/>
      <c r="AB49" s="1056"/>
      <c r="AC49" s="1056">
        <f t="shared" ref="AC49:AC54" si="9">SUM(N49:AB49)</f>
        <v>0</v>
      </c>
      <c r="AD49" s="63">
        <f t="shared" ref="AD49:AD54" si="10">ABS(SUM(N49:AB49))</f>
        <v>0</v>
      </c>
    </row>
    <row r="50" spans="1:30" ht="15.95" customHeight="1">
      <c r="A50" s="63" t="s">
        <v>76</v>
      </c>
      <c r="B50" s="63" t="str">
        <f t="shared" si="8"/>
        <v>Show</v>
      </c>
      <c r="D50" s="1043"/>
      <c r="E50" s="1043"/>
      <c r="F50" s="55"/>
      <c r="G50" s="1071" t="str">
        <f>"1086"</f>
        <v>1086</v>
      </c>
      <c r="I50" s="1070" t="s">
        <v>657</v>
      </c>
      <c r="N50" s="1056">
        <v>100801</v>
      </c>
      <c r="O50" s="1056"/>
      <c r="P50" s="1056"/>
      <c r="Q50" s="1056">
        <v>0</v>
      </c>
      <c r="R50" s="1056"/>
      <c r="S50" s="1056"/>
      <c r="T50" s="1056">
        <v>0</v>
      </c>
      <c r="U50" s="1056"/>
      <c r="V50" s="1056"/>
      <c r="W50" s="1056">
        <v>0</v>
      </c>
      <c r="X50" s="1056"/>
      <c r="Y50" s="1056"/>
      <c r="Z50" s="1056">
        <v>0</v>
      </c>
      <c r="AA50" s="1056"/>
      <c r="AB50" s="1056"/>
      <c r="AC50" s="1056">
        <f t="shared" si="9"/>
        <v>100801</v>
      </c>
      <c r="AD50" s="63">
        <f t="shared" si="10"/>
        <v>100801</v>
      </c>
    </row>
    <row r="51" spans="1:30" ht="15.95" hidden="1" customHeight="1">
      <c r="A51" s="63" t="s">
        <v>76</v>
      </c>
      <c r="B51" s="63" t="str">
        <f t="shared" si="8"/>
        <v>Hide</v>
      </c>
      <c r="D51" s="1043"/>
      <c r="E51" s="1043"/>
      <c r="F51" s="55"/>
      <c r="G51" s="1071" t="str">
        <f>"1105"</f>
        <v>1105</v>
      </c>
      <c r="I51" s="1070" t="s">
        <v>658</v>
      </c>
      <c r="N51" s="1056">
        <v>0</v>
      </c>
      <c r="O51" s="1056"/>
      <c r="P51" s="1056"/>
      <c r="Q51" s="1056">
        <v>0</v>
      </c>
      <c r="R51" s="1056"/>
      <c r="S51" s="1056"/>
      <c r="T51" s="1056">
        <v>0</v>
      </c>
      <c r="U51" s="1056"/>
      <c r="V51" s="1056"/>
      <c r="W51" s="1056">
        <v>0</v>
      </c>
      <c r="X51" s="1056"/>
      <c r="Y51" s="1056"/>
      <c r="Z51" s="1056">
        <v>0</v>
      </c>
      <c r="AA51" s="1056"/>
      <c r="AB51" s="1056"/>
      <c r="AC51" s="1056">
        <f t="shared" si="9"/>
        <v>0</v>
      </c>
      <c r="AD51" s="63">
        <f t="shared" si="10"/>
        <v>0</v>
      </c>
    </row>
    <row r="52" spans="1:30" ht="15.95" hidden="1" customHeight="1">
      <c r="A52" s="63" t="s">
        <v>76</v>
      </c>
      <c r="B52" s="63" t="str">
        <f t="shared" si="8"/>
        <v>Hide</v>
      </c>
      <c r="D52" s="1043"/>
      <c r="E52" s="1043"/>
      <c r="F52" s="55"/>
      <c r="G52" s="1071" t="str">
        <f>"1108"</f>
        <v>1108</v>
      </c>
      <c r="I52" s="1070" t="s">
        <v>659</v>
      </c>
      <c r="N52" s="1056">
        <v>0</v>
      </c>
      <c r="O52" s="1056"/>
      <c r="P52" s="1056"/>
      <c r="Q52" s="1056">
        <v>0</v>
      </c>
      <c r="R52" s="1056"/>
      <c r="S52" s="1056"/>
      <c r="T52" s="1056">
        <v>0</v>
      </c>
      <c r="U52" s="1056"/>
      <c r="V52" s="1056"/>
      <c r="W52" s="1056">
        <v>0</v>
      </c>
      <c r="X52" s="1056"/>
      <c r="Y52" s="1056"/>
      <c r="Z52" s="1056">
        <v>0</v>
      </c>
      <c r="AA52" s="1056"/>
      <c r="AB52" s="1056"/>
      <c r="AC52" s="1056">
        <f t="shared" si="9"/>
        <v>0</v>
      </c>
      <c r="AD52" s="63">
        <f t="shared" si="10"/>
        <v>0</v>
      </c>
    </row>
    <row r="53" spans="1:30" ht="15.95" hidden="1" customHeight="1">
      <c r="A53" s="63" t="s">
        <v>76</v>
      </c>
      <c r="B53" s="63" t="str">
        <f t="shared" si="8"/>
        <v>Hide</v>
      </c>
      <c r="D53" s="1043"/>
      <c r="E53" s="1043"/>
      <c r="F53" s="55"/>
      <c r="G53" s="1071" t="str">
        <f>"1103"</f>
        <v>1103</v>
      </c>
      <c r="I53" s="1070" t="s">
        <v>660</v>
      </c>
      <c r="N53" s="1056">
        <v>0</v>
      </c>
      <c r="O53" s="1056"/>
      <c r="P53" s="1056"/>
      <c r="Q53" s="1056">
        <v>0</v>
      </c>
      <c r="R53" s="1056"/>
      <c r="S53" s="1056"/>
      <c r="T53" s="1056">
        <v>0</v>
      </c>
      <c r="U53" s="1056"/>
      <c r="V53" s="1056"/>
      <c r="W53" s="1056">
        <v>0</v>
      </c>
      <c r="X53" s="1056"/>
      <c r="Y53" s="1056"/>
      <c r="Z53" s="1056">
        <v>0</v>
      </c>
      <c r="AA53" s="1056"/>
      <c r="AB53" s="1056"/>
      <c r="AC53" s="1056">
        <f t="shared" si="9"/>
        <v>0</v>
      </c>
      <c r="AD53" s="63">
        <f t="shared" si="10"/>
        <v>0</v>
      </c>
    </row>
    <row r="54" spans="1:30" ht="15.95" customHeight="1">
      <c r="A54" s="63" t="s">
        <v>76</v>
      </c>
      <c r="B54" s="63" t="str">
        <f t="shared" si="8"/>
        <v>Show</v>
      </c>
      <c r="D54" s="1043"/>
      <c r="E54" s="1043"/>
      <c r="F54" s="55"/>
      <c r="G54" s="1071" t="str">
        <f>"1088"</f>
        <v>1088</v>
      </c>
      <c r="I54" s="1070" t="s">
        <v>661</v>
      </c>
      <c r="N54" s="1056">
        <v>766386</v>
      </c>
      <c r="O54" s="1056"/>
      <c r="P54" s="1056"/>
      <c r="Q54" s="1056">
        <v>0</v>
      </c>
      <c r="R54" s="1056"/>
      <c r="S54" s="1056"/>
      <c r="T54" s="1056">
        <v>0</v>
      </c>
      <c r="U54" s="1056"/>
      <c r="V54" s="1056"/>
      <c r="W54" s="1056">
        <v>0</v>
      </c>
      <c r="X54" s="1056"/>
      <c r="Y54" s="1056"/>
      <c r="Z54" s="1056">
        <v>0</v>
      </c>
      <c r="AA54" s="1056"/>
      <c r="AB54" s="1056"/>
      <c r="AC54" s="1056">
        <f t="shared" si="9"/>
        <v>766386</v>
      </c>
      <c r="AD54" s="63">
        <f t="shared" si="10"/>
        <v>766386</v>
      </c>
    </row>
    <row r="55" spans="1:30" ht="15.95" hidden="1" customHeight="1">
      <c r="B55" s="63" t="s">
        <v>237</v>
      </c>
      <c r="D55" s="1043"/>
      <c r="E55" s="1043"/>
      <c r="F55" s="55" t="s">
        <v>662</v>
      </c>
      <c r="G55" s="1063"/>
      <c r="I55" s="1072"/>
      <c r="N55" s="1056"/>
      <c r="O55" s="1056"/>
      <c r="P55" s="1056"/>
      <c r="Q55" s="1056"/>
      <c r="R55" s="1056"/>
      <c r="S55" s="1056"/>
      <c r="T55" s="1056"/>
      <c r="U55" s="1056"/>
      <c r="V55" s="1056"/>
      <c r="W55" s="1056"/>
      <c r="X55" s="1056"/>
      <c r="Y55" s="1056"/>
      <c r="Z55" s="1056"/>
      <c r="AA55" s="1056"/>
      <c r="AB55" s="1056"/>
      <c r="AC55" s="1056"/>
    </row>
    <row r="56" spans="1:30" ht="15.95" hidden="1" customHeight="1">
      <c r="B56" s="63" t="str">
        <f t="shared" ref="B56:B62" si="11">IF(AD56=0,"Hide","Show")</f>
        <v>Hide</v>
      </c>
      <c r="D56" s="1043"/>
      <c r="E56" s="1043"/>
      <c r="G56" s="1063" t="s">
        <v>663</v>
      </c>
      <c r="I56" s="1070" t="s">
        <v>664</v>
      </c>
      <c r="N56" s="1056">
        <v>0</v>
      </c>
      <c r="O56" s="1056"/>
      <c r="P56" s="1056"/>
      <c r="Q56" s="1056">
        <v>0</v>
      </c>
      <c r="R56" s="1056"/>
      <c r="S56" s="1056"/>
      <c r="T56" s="1056">
        <v>0</v>
      </c>
      <c r="U56" s="1056"/>
      <c r="V56" s="1056"/>
      <c r="W56" s="1056">
        <v>0</v>
      </c>
      <c r="X56" s="1056"/>
      <c r="Y56" s="1056"/>
      <c r="Z56" s="1056">
        <v>0</v>
      </c>
      <c r="AA56" s="1056"/>
      <c r="AB56" s="1056"/>
      <c r="AC56" s="1056">
        <f t="shared" ref="AC56:AC62" si="12">SUM(N56:AB56)</f>
        <v>0</v>
      </c>
      <c r="AD56" s="63">
        <f t="shared" ref="AD56:AD62" si="13">ABS(SUM(N56:AB56))</f>
        <v>0</v>
      </c>
    </row>
    <row r="57" spans="1:30" ht="15.95" hidden="1" customHeight="1">
      <c r="A57" s="63" t="s">
        <v>76</v>
      </c>
      <c r="B57" s="63" t="str">
        <f t="shared" si="11"/>
        <v>Hide</v>
      </c>
      <c r="D57" s="1043"/>
      <c r="E57" s="1043"/>
      <c r="G57" s="1063" t="str">
        <f>"1021"</f>
        <v>1021</v>
      </c>
      <c r="I57" s="1070" t="s">
        <v>665</v>
      </c>
      <c r="N57" s="1056">
        <v>0</v>
      </c>
      <c r="O57" s="1056"/>
      <c r="P57" s="1056"/>
      <c r="Q57" s="1056">
        <v>0</v>
      </c>
      <c r="R57" s="1056"/>
      <c r="S57" s="1056"/>
      <c r="T57" s="1056">
        <v>0</v>
      </c>
      <c r="U57" s="1056"/>
      <c r="V57" s="1056"/>
      <c r="W57" s="1056">
        <v>0</v>
      </c>
      <c r="X57" s="1056"/>
      <c r="Y57" s="1056"/>
      <c r="Z57" s="1056">
        <v>0</v>
      </c>
      <c r="AA57" s="1056"/>
      <c r="AB57" s="1056"/>
      <c r="AC57" s="1056">
        <f t="shared" si="12"/>
        <v>0</v>
      </c>
      <c r="AD57" s="63">
        <f t="shared" si="13"/>
        <v>0</v>
      </c>
    </row>
    <row r="58" spans="1:30" ht="15.95" customHeight="1">
      <c r="A58" s="63" t="s">
        <v>76</v>
      </c>
      <c r="B58" s="63" t="str">
        <f t="shared" si="11"/>
        <v>Show</v>
      </c>
      <c r="D58" s="1043"/>
      <c r="E58" s="1043"/>
      <c r="G58" s="1063" t="str">
        <f>"1029"</f>
        <v>1029</v>
      </c>
      <c r="I58" s="1070" t="s">
        <v>666</v>
      </c>
      <c r="N58" s="1056">
        <v>0</v>
      </c>
      <c r="O58" s="1056"/>
      <c r="P58" s="1056"/>
      <c r="Q58" s="1056">
        <v>0</v>
      </c>
      <c r="R58" s="1056"/>
      <c r="S58" s="1056"/>
      <c r="T58" s="1056">
        <v>0</v>
      </c>
      <c r="U58" s="1056"/>
      <c r="V58" s="1056"/>
      <c r="W58" s="1056">
        <v>32763</v>
      </c>
      <c r="X58" s="1056"/>
      <c r="Y58" s="1056"/>
      <c r="Z58" s="1056">
        <v>16787</v>
      </c>
      <c r="AA58" s="1056"/>
      <c r="AB58" s="1056"/>
      <c r="AC58" s="1056">
        <f t="shared" si="12"/>
        <v>49550</v>
      </c>
      <c r="AD58" s="63">
        <f t="shared" si="13"/>
        <v>49550</v>
      </c>
    </row>
    <row r="59" spans="1:30" ht="15.95" customHeight="1">
      <c r="A59" s="63" t="s">
        <v>76</v>
      </c>
      <c r="B59" s="63" t="str">
        <f t="shared" si="11"/>
        <v>Show</v>
      </c>
      <c r="D59" s="1043"/>
      <c r="E59" s="1043"/>
      <c r="G59" s="1063" t="str">
        <f>"1038"</f>
        <v>1038</v>
      </c>
      <c r="I59" s="1070" t="s">
        <v>667</v>
      </c>
      <c r="N59" s="1056">
        <v>0</v>
      </c>
      <c r="O59" s="1056"/>
      <c r="P59" s="1056"/>
      <c r="Q59" s="1056">
        <v>0</v>
      </c>
      <c r="R59" s="1056"/>
      <c r="S59" s="1056"/>
      <c r="T59" s="1056">
        <v>0</v>
      </c>
      <c r="U59" s="1056"/>
      <c r="V59" s="1056"/>
      <c r="W59" s="1056">
        <v>12338</v>
      </c>
      <c r="X59" s="1056"/>
      <c r="Y59" s="1056"/>
      <c r="Z59" s="1056">
        <v>0</v>
      </c>
      <c r="AA59" s="1056"/>
      <c r="AB59" s="1056"/>
      <c r="AC59" s="1056">
        <f t="shared" si="12"/>
        <v>12338</v>
      </c>
      <c r="AD59" s="63">
        <f t="shared" si="13"/>
        <v>12338</v>
      </c>
    </row>
    <row r="60" spans="1:30" ht="15.95" customHeight="1">
      <c r="A60" s="63" t="s">
        <v>76</v>
      </c>
      <c r="B60" s="63" t="str">
        <f t="shared" si="11"/>
        <v>Show</v>
      </c>
      <c r="D60" s="1043"/>
      <c r="E60" s="1043"/>
      <c r="G60" s="1063" t="str">
        <f>"1053"</f>
        <v>1053</v>
      </c>
      <c r="I60" s="1070" t="s">
        <v>668</v>
      </c>
      <c r="N60" s="1056">
        <v>0</v>
      </c>
      <c r="O60" s="1056"/>
      <c r="P60" s="1056"/>
      <c r="Q60" s="1056">
        <v>0</v>
      </c>
      <c r="R60" s="1056"/>
      <c r="S60" s="1056"/>
      <c r="T60" s="1056">
        <v>0</v>
      </c>
      <c r="U60" s="1056"/>
      <c r="V60" s="1056"/>
      <c r="W60" s="1056">
        <v>607313</v>
      </c>
      <c r="X60" s="1056"/>
      <c r="Y60" s="1056"/>
      <c r="Z60" s="1056">
        <v>340000</v>
      </c>
      <c r="AA60" s="1056"/>
      <c r="AB60" s="1056"/>
      <c r="AC60" s="1056">
        <f t="shared" si="12"/>
        <v>947313</v>
      </c>
      <c r="AD60" s="63">
        <f t="shared" si="13"/>
        <v>947313</v>
      </c>
    </row>
    <row r="61" spans="1:30" ht="15.95" customHeight="1">
      <c r="A61" s="63" t="s">
        <v>76</v>
      </c>
      <c r="B61" s="63" t="str">
        <f t="shared" si="11"/>
        <v>Show</v>
      </c>
      <c r="D61" s="1043"/>
      <c r="E61" s="1043"/>
      <c r="G61" s="1063" t="str">
        <f>"1060"</f>
        <v>1060</v>
      </c>
      <c r="I61" s="1070" t="s">
        <v>669</v>
      </c>
      <c r="N61" s="1056">
        <v>0</v>
      </c>
      <c r="O61" s="1056"/>
      <c r="P61" s="1056"/>
      <c r="Q61" s="1056">
        <v>0</v>
      </c>
      <c r="R61" s="1056"/>
      <c r="S61" s="1056"/>
      <c r="T61" s="1056">
        <v>0</v>
      </c>
      <c r="U61" s="1056"/>
      <c r="V61" s="1056"/>
      <c r="W61" s="1056">
        <v>1042820</v>
      </c>
      <c r="X61" s="1056"/>
      <c r="Y61" s="1056"/>
      <c r="Z61" s="1056">
        <v>128503</v>
      </c>
      <c r="AA61" s="1056"/>
      <c r="AB61" s="1056"/>
      <c r="AC61" s="1056">
        <f t="shared" si="12"/>
        <v>1171323</v>
      </c>
      <c r="AD61" s="63">
        <f t="shared" si="13"/>
        <v>1171323</v>
      </c>
    </row>
    <row r="62" spans="1:30" ht="15.95" hidden="1" customHeight="1">
      <c r="A62" s="63" t="s">
        <v>76</v>
      </c>
      <c r="B62" s="63" t="str">
        <f t="shared" si="11"/>
        <v>Hide</v>
      </c>
      <c r="D62" s="1043"/>
      <c r="E62" s="1043"/>
      <c r="G62" s="1063" t="str">
        <f>"1066"</f>
        <v>1066</v>
      </c>
      <c r="I62" s="1070" t="s">
        <v>670</v>
      </c>
      <c r="N62" s="1056">
        <v>0</v>
      </c>
      <c r="O62" s="1056"/>
      <c r="P62" s="1056"/>
      <c r="Q62" s="1056">
        <v>0</v>
      </c>
      <c r="R62" s="1056"/>
      <c r="S62" s="1056"/>
      <c r="T62" s="1056">
        <v>0</v>
      </c>
      <c r="U62" s="1056"/>
      <c r="V62" s="1056"/>
      <c r="W62" s="1056">
        <v>0</v>
      </c>
      <c r="X62" s="1056"/>
      <c r="Y62" s="1056"/>
      <c r="Z62" s="1056">
        <v>0</v>
      </c>
      <c r="AA62" s="1056"/>
      <c r="AB62" s="1056"/>
      <c r="AC62" s="1056">
        <f t="shared" si="12"/>
        <v>0</v>
      </c>
      <c r="AD62" s="63">
        <f t="shared" si="13"/>
        <v>0</v>
      </c>
    </row>
    <row r="63" spans="1:30" ht="15.95" hidden="1" customHeight="1">
      <c r="B63" s="63" t="s">
        <v>31</v>
      </c>
      <c r="C63" s="1058" t="s">
        <v>671</v>
      </c>
      <c r="D63" s="1069" t="s">
        <v>672</v>
      </c>
      <c r="E63" s="1073"/>
      <c r="G63" s="1063"/>
      <c r="N63" s="1056"/>
      <c r="O63" s="1056"/>
      <c r="P63" s="1056"/>
      <c r="Q63" s="1056"/>
      <c r="R63" s="1056"/>
      <c r="S63" s="1056"/>
      <c r="T63" s="1056"/>
      <c r="U63" s="1056"/>
      <c r="V63" s="1056"/>
      <c r="W63" s="1056"/>
      <c r="X63" s="1056"/>
      <c r="Y63" s="1056"/>
      <c r="Z63" s="1056"/>
      <c r="AA63" s="1056"/>
      <c r="AB63" s="1056"/>
      <c r="AC63" s="1056"/>
    </row>
    <row r="64" spans="1:30" ht="15.95" hidden="1" customHeight="1">
      <c r="B64" s="63" t="str">
        <f t="shared" ref="B64:B67" si="14">IF(AD64=0,"Hide","Show")</f>
        <v>Hide</v>
      </c>
      <c r="D64" s="1073"/>
      <c r="E64" s="1073"/>
      <c r="G64" s="1063" t="s">
        <v>673</v>
      </c>
      <c r="I64" s="1064" t="s">
        <v>674</v>
      </c>
      <c r="N64" s="1074">
        <v>0</v>
      </c>
      <c r="O64" s="1074"/>
      <c r="P64" s="1056"/>
      <c r="Q64" s="1074">
        <v>0</v>
      </c>
      <c r="R64" s="1074"/>
      <c r="S64" s="1056"/>
      <c r="T64" s="1074">
        <v>0</v>
      </c>
      <c r="U64" s="1074"/>
      <c r="V64" s="1056"/>
      <c r="W64" s="1074">
        <v>0</v>
      </c>
      <c r="X64" s="1074"/>
      <c r="Y64" s="1056"/>
      <c r="Z64" s="1074">
        <v>0</v>
      </c>
      <c r="AA64" s="1074"/>
      <c r="AB64" s="1074"/>
      <c r="AC64" s="1074">
        <f t="shared" ref="AC64:AC67" si="15">SUM(N64:AB64)</f>
        <v>0</v>
      </c>
      <c r="AD64" s="63">
        <f t="shared" ref="AD64:AD67" si="16">ABS(SUM(N64:AB64))</f>
        <v>0</v>
      </c>
    </row>
    <row r="65" spans="1:30" ht="15.95" hidden="1" customHeight="1">
      <c r="A65" s="63" t="s">
        <v>76</v>
      </c>
      <c r="B65" s="63" t="str">
        <f t="shared" si="14"/>
        <v>Hide</v>
      </c>
      <c r="D65" s="1073"/>
      <c r="E65" s="1073"/>
      <c r="G65" s="1063" t="str">
        <f>"152900"</f>
        <v>152900</v>
      </c>
      <c r="I65" s="1064" t="s">
        <v>675</v>
      </c>
      <c r="N65" s="1074">
        <v>0</v>
      </c>
      <c r="O65" s="1074"/>
      <c r="P65" s="1056"/>
      <c r="Q65" s="1074">
        <v>0</v>
      </c>
      <c r="R65" s="1074"/>
      <c r="S65" s="1056"/>
      <c r="T65" s="1074">
        <v>0</v>
      </c>
      <c r="U65" s="1074"/>
      <c r="V65" s="1056"/>
      <c r="W65" s="1074">
        <v>0</v>
      </c>
      <c r="X65" s="1074"/>
      <c r="Y65" s="1056"/>
      <c r="Z65" s="1074">
        <v>0</v>
      </c>
      <c r="AA65" s="1074"/>
      <c r="AB65" s="1074"/>
      <c r="AC65" s="1074">
        <f t="shared" si="15"/>
        <v>0</v>
      </c>
      <c r="AD65" s="63">
        <f t="shared" si="16"/>
        <v>0</v>
      </c>
    </row>
    <row r="66" spans="1:30" ht="15.95" hidden="1" customHeight="1">
      <c r="A66" s="63" t="s">
        <v>76</v>
      </c>
      <c r="B66" s="63" t="str">
        <f t="shared" si="14"/>
        <v>Hide</v>
      </c>
      <c r="D66" s="1073"/>
      <c r="E66" s="1073"/>
      <c r="G66" s="1063" t="str">
        <f>"155000"</f>
        <v>155000</v>
      </c>
      <c r="I66" s="1064" t="s">
        <v>502</v>
      </c>
      <c r="N66" s="1074">
        <v>0</v>
      </c>
      <c r="O66" s="1074"/>
      <c r="P66" s="1056"/>
      <c r="Q66" s="1074">
        <v>0</v>
      </c>
      <c r="R66" s="1074"/>
      <c r="S66" s="1056"/>
      <c r="T66" s="1074">
        <v>0</v>
      </c>
      <c r="U66" s="1074"/>
      <c r="V66" s="1056"/>
      <c r="W66" s="1074">
        <v>0</v>
      </c>
      <c r="X66" s="1074"/>
      <c r="Y66" s="1056"/>
      <c r="Z66" s="1074">
        <v>0</v>
      </c>
      <c r="AA66" s="1074"/>
      <c r="AB66" s="1074"/>
      <c r="AC66" s="1074">
        <f t="shared" si="15"/>
        <v>0</v>
      </c>
      <c r="AD66" s="63">
        <f t="shared" si="16"/>
        <v>0</v>
      </c>
    </row>
    <row r="67" spans="1:30" ht="15.95" hidden="1" customHeight="1">
      <c r="A67" s="63" t="s">
        <v>76</v>
      </c>
      <c r="B67" s="63" t="str">
        <f t="shared" si="14"/>
        <v>Hide</v>
      </c>
      <c r="D67" s="1073"/>
      <c r="E67" s="1073"/>
      <c r="G67" s="1063" t="str">
        <f>"156100"</f>
        <v>156100</v>
      </c>
      <c r="I67" s="1064" t="s">
        <v>503</v>
      </c>
      <c r="N67" s="1074">
        <v>0</v>
      </c>
      <c r="O67" s="1074"/>
      <c r="P67" s="1056"/>
      <c r="Q67" s="1074">
        <v>0</v>
      </c>
      <c r="R67" s="1074"/>
      <c r="S67" s="1056"/>
      <c r="T67" s="1074">
        <v>0</v>
      </c>
      <c r="U67" s="1074"/>
      <c r="V67" s="1056"/>
      <c r="W67" s="1074">
        <v>0</v>
      </c>
      <c r="X67" s="1074"/>
      <c r="Y67" s="1056"/>
      <c r="Z67" s="1074">
        <v>0</v>
      </c>
      <c r="AA67" s="1074"/>
      <c r="AB67" s="1074"/>
      <c r="AC67" s="1074">
        <f t="shared" si="15"/>
        <v>0</v>
      </c>
      <c r="AD67" s="63">
        <f t="shared" si="16"/>
        <v>0</v>
      </c>
    </row>
    <row r="68" spans="1:30" ht="7.5" hidden="1" customHeight="1">
      <c r="B68" s="63" t="str">
        <f t="shared" ref="B68:B71" si="17">IF($F$3="No","Hide","Show")</f>
        <v>Hide</v>
      </c>
      <c r="G68" s="1063"/>
      <c r="N68" s="1074"/>
      <c r="O68" s="1074"/>
      <c r="P68" s="1056"/>
      <c r="Q68" s="1074"/>
      <c r="R68" s="1074"/>
      <c r="S68" s="1056"/>
      <c r="T68" s="1074"/>
      <c r="U68" s="1074"/>
      <c r="V68" s="1056"/>
      <c r="W68" s="1074"/>
      <c r="X68" s="1074"/>
      <c r="Y68" s="1056"/>
      <c r="Z68" s="1074"/>
      <c r="AA68" s="1074"/>
      <c r="AB68" s="1074"/>
      <c r="AC68" s="1074"/>
    </row>
    <row r="69" spans="1:30" ht="15" hidden="1" customHeight="1">
      <c r="B69" s="63" t="str">
        <f t="shared" si="17"/>
        <v>Hide</v>
      </c>
      <c r="G69" s="1063"/>
      <c r="I69" s="1075" t="s">
        <v>676</v>
      </c>
      <c r="N69" s="1076">
        <f>SUM(N20:N32)+SUM(N45:N68)</f>
        <v>1268161</v>
      </c>
      <c r="O69" s="1074"/>
      <c r="P69" s="1056"/>
      <c r="Q69" s="1076">
        <f>SUM(Q20:Q32)+SUM(Q45:Q68)</f>
        <v>0</v>
      </c>
      <c r="R69" s="1074"/>
      <c r="S69" s="1056"/>
      <c r="T69" s="1076">
        <f>SUM(T20:T32)+SUM(T45:T68)</f>
        <v>0</v>
      </c>
      <c r="U69" s="1074"/>
      <c r="V69" s="1056"/>
      <c r="W69" s="1076">
        <f>SUM(W20:W32)+SUM(W45:W68)</f>
        <v>1695234</v>
      </c>
      <c r="X69" s="1074"/>
      <c r="Y69" s="1056"/>
      <c r="Z69" s="1076">
        <f>SUM(Z20:Z32)+SUM(Z45:Z68)</f>
        <v>485290</v>
      </c>
      <c r="AA69" s="1074"/>
      <c r="AB69" s="1074"/>
      <c r="AC69" s="1076">
        <f>SUM(N69:AB69)</f>
        <v>3448685</v>
      </c>
      <c r="AD69" s="63">
        <f>ABS(SUM(N69:AB69))</f>
        <v>3448685</v>
      </c>
    </row>
    <row r="70" spans="1:30" ht="12" hidden="1" customHeight="1">
      <c r="B70" s="63" t="str">
        <f t="shared" si="17"/>
        <v>Hide</v>
      </c>
      <c r="G70" s="1063"/>
      <c r="N70" s="1074"/>
      <c r="O70" s="1074"/>
      <c r="P70" s="1056"/>
      <c r="Q70" s="1074"/>
      <c r="R70" s="1074"/>
      <c r="S70" s="1056"/>
      <c r="T70" s="1074"/>
      <c r="U70" s="1074"/>
      <c r="V70" s="1056"/>
      <c r="W70" s="1074"/>
      <c r="X70" s="1074"/>
      <c r="Y70" s="1056"/>
      <c r="Z70" s="1074"/>
      <c r="AA70" s="1074"/>
      <c r="AB70" s="1074"/>
      <c r="AC70" s="1074"/>
    </row>
    <row r="71" spans="1:30" ht="15" hidden="1" customHeight="1">
      <c r="B71" s="63" t="str">
        <f t="shared" si="17"/>
        <v>Hide</v>
      </c>
      <c r="G71" s="1063"/>
      <c r="I71" s="1026" t="s">
        <v>677</v>
      </c>
      <c r="N71" s="1074"/>
      <c r="O71" s="1074"/>
      <c r="P71" s="1056"/>
      <c r="Q71" s="1074"/>
      <c r="R71" s="1074"/>
      <c r="S71" s="1056"/>
      <c r="T71" s="1074"/>
      <c r="U71" s="1074"/>
      <c r="V71" s="1056"/>
      <c r="W71" s="1074"/>
      <c r="X71" s="1074"/>
      <c r="Y71" s="1056"/>
      <c r="Z71" s="1074"/>
      <c r="AA71" s="1074"/>
      <c r="AB71" s="1074"/>
      <c r="AC71" s="1074"/>
    </row>
    <row r="72" spans="1:30" ht="15.95" hidden="1" customHeight="1">
      <c r="B72" s="63" t="str">
        <f>IF(SUM(AD73:AD74)=0,"Hide","Show")</f>
        <v>Hide</v>
      </c>
      <c r="C72" s="1058" t="s">
        <v>678</v>
      </c>
      <c r="D72" s="1069" t="s">
        <v>679</v>
      </c>
      <c r="G72" s="1063"/>
      <c r="I72" s="1064" t="s">
        <v>680</v>
      </c>
      <c r="N72" s="1074"/>
      <c r="O72" s="1074"/>
      <c r="P72" s="1056"/>
      <c r="Q72" s="1074"/>
      <c r="R72" s="1074"/>
      <c r="S72" s="1056"/>
      <c r="T72" s="1074"/>
      <c r="U72" s="1074"/>
      <c r="V72" s="1056"/>
      <c r="W72" s="1074"/>
      <c r="X72" s="1074"/>
      <c r="Y72" s="1056"/>
      <c r="Z72" s="1074"/>
      <c r="AA72" s="1074"/>
      <c r="AB72" s="1074"/>
      <c r="AC72" s="1074"/>
    </row>
    <row r="73" spans="1:30" ht="15.95" hidden="1" customHeight="1">
      <c r="B73" s="63" t="str">
        <f>IF(AD73=0,"Hide","Show")</f>
        <v>Hide</v>
      </c>
      <c r="C73" s="1077"/>
      <c r="D73" s="1069"/>
      <c r="G73" s="1063" t="s">
        <v>681</v>
      </c>
      <c r="I73" s="1070" t="s">
        <v>682</v>
      </c>
      <c r="N73" s="1074">
        <v>0</v>
      </c>
      <c r="O73" s="1074"/>
      <c r="P73" s="1056"/>
      <c r="Q73" s="1074">
        <v>0</v>
      </c>
      <c r="R73" s="1074"/>
      <c r="S73" s="1056"/>
      <c r="T73" s="1074">
        <v>0</v>
      </c>
      <c r="U73" s="1074"/>
      <c r="V73" s="1056"/>
      <c r="W73" s="1074">
        <v>0</v>
      </c>
      <c r="X73" s="1074"/>
      <c r="Y73" s="1056"/>
      <c r="Z73" s="1074">
        <v>0</v>
      </c>
      <c r="AA73" s="1074"/>
      <c r="AB73" s="1074"/>
      <c r="AC73" s="1074">
        <f>SUM(N73:AB73)</f>
        <v>0</v>
      </c>
      <c r="AD73" s="63">
        <f>ABS(SUM(N73:AB73))</f>
        <v>0</v>
      </c>
    </row>
    <row r="74" spans="1:30" ht="15.95" hidden="1" customHeight="1">
      <c r="B74" s="63" t="s">
        <v>31</v>
      </c>
      <c r="C74" s="1077"/>
      <c r="D74" s="1069"/>
      <c r="G74" s="1063"/>
      <c r="I74" s="1070"/>
      <c r="N74" s="1074"/>
      <c r="O74" s="1074"/>
      <c r="P74" s="1056"/>
      <c r="Q74" s="1074"/>
      <c r="R74" s="1074"/>
      <c r="S74" s="1056"/>
      <c r="T74" s="1074"/>
      <c r="U74" s="1074"/>
      <c r="V74" s="1056"/>
      <c r="W74" s="1074"/>
      <c r="X74" s="1074"/>
      <c r="Y74" s="1056"/>
      <c r="Z74" s="1074"/>
      <c r="AA74" s="1074"/>
      <c r="AB74" s="1074"/>
      <c r="AC74" s="1074"/>
    </row>
    <row r="75" spans="1:30" ht="15.95" hidden="1" customHeight="1">
      <c r="B75" s="63" t="s">
        <v>31</v>
      </c>
      <c r="C75" s="1058" t="s">
        <v>683</v>
      </c>
      <c r="D75" s="1069" t="s">
        <v>684</v>
      </c>
      <c r="G75" s="1063"/>
      <c r="I75" s="1078"/>
      <c r="N75" s="1074"/>
      <c r="O75" s="1074"/>
      <c r="P75" s="1056"/>
      <c r="Q75" s="1074"/>
      <c r="R75" s="1074"/>
      <c r="S75" s="1056"/>
      <c r="T75" s="1074"/>
      <c r="U75" s="1074"/>
      <c r="V75" s="1056"/>
      <c r="W75" s="1074"/>
      <c r="X75" s="1074"/>
      <c r="Y75" s="1056"/>
      <c r="Z75" s="1074"/>
      <c r="AA75" s="1074"/>
      <c r="AB75" s="1074"/>
      <c r="AC75" s="1074"/>
    </row>
    <row r="76" spans="1:30" ht="15.95" hidden="1" customHeight="1">
      <c r="B76" s="63" t="str">
        <f t="shared" ref="B76:B77" si="18">IF(AD76=0,"Hide","Show")</f>
        <v>Hide</v>
      </c>
      <c r="C76" s="1077"/>
      <c r="D76" s="1069"/>
      <c r="G76" s="1063" t="s">
        <v>685</v>
      </c>
      <c r="I76" s="1064" t="s">
        <v>686</v>
      </c>
      <c r="N76" s="1074">
        <v>0</v>
      </c>
      <c r="O76" s="1074"/>
      <c r="P76" s="1056"/>
      <c r="Q76" s="1074">
        <v>0</v>
      </c>
      <c r="R76" s="1074"/>
      <c r="S76" s="1056"/>
      <c r="T76" s="1074">
        <v>0</v>
      </c>
      <c r="U76" s="1074"/>
      <c r="V76" s="1056"/>
      <c r="W76" s="1074">
        <v>0</v>
      </c>
      <c r="X76" s="1074"/>
      <c r="Y76" s="1056"/>
      <c r="Z76" s="1074">
        <v>0</v>
      </c>
      <c r="AA76" s="1074"/>
      <c r="AB76" s="1074"/>
      <c r="AC76" s="1074">
        <f t="shared" ref="AC76:AC77" si="19">SUM(N76:AB76)</f>
        <v>0</v>
      </c>
      <c r="AD76" s="63">
        <f t="shared" ref="AD76:AD77" si="20">ABS(SUM(N76:AB76))</f>
        <v>0</v>
      </c>
    </row>
    <row r="77" spans="1:30" ht="15.95" hidden="1" customHeight="1">
      <c r="A77" s="63" t="s">
        <v>76</v>
      </c>
      <c r="B77" s="63" t="str">
        <f t="shared" si="18"/>
        <v>Hide</v>
      </c>
      <c r="C77" s="1077"/>
      <c r="D77" s="1069"/>
      <c r="G77" s="1063" t="str">
        <f>"156900"</f>
        <v>156900</v>
      </c>
      <c r="I77" s="1064" t="s">
        <v>687</v>
      </c>
      <c r="N77" s="1074">
        <v>0</v>
      </c>
      <c r="O77" s="1074"/>
      <c r="P77" s="1056"/>
      <c r="Q77" s="1074">
        <v>0</v>
      </c>
      <c r="R77" s="1074"/>
      <c r="S77" s="1056"/>
      <c r="T77" s="1074">
        <v>0</v>
      </c>
      <c r="U77" s="1074"/>
      <c r="V77" s="1056"/>
      <c r="W77" s="1074">
        <v>0</v>
      </c>
      <c r="X77" s="1074"/>
      <c r="Y77" s="1056"/>
      <c r="Z77" s="1074">
        <v>0</v>
      </c>
      <c r="AA77" s="1074"/>
      <c r="AB77" s="1074"/>
      <c r="AC77" s="1074">
        <f t="shared" si="19"/>
        <v>0</v>
      </c>
      <c r="AD77" s="63">
        <f t="shared" si="20"/>
        <v>0</v>
      </c>
    </row>
    <row r="78" spans="1:30" ht="6.95" hidden="1" customHeight="1">
      <c r="B78" s="63" t="str">
        <f t="shared" ref="B78:B79" si="21">IF($F$3="No","Hide","Show")</f>
        <v>Hide</v>
      </c>
      <c r="G78" s="1063"/>
      <c r="I78" s="1078"/>
      <c r="N78" s="1074"/>
      <c r="O78" s="1074"/>
      <c r="P78" s="1056"/>
      <c r="Q78" s="1074"/>
      <c r="R78" s="1074"/>
      <c r="S78" s="1056"/>
      <c r="T78" s="1074"/>
      <c r="U78" s="1074"/>
      <c r="V78" s="1056"/>
      <c r="W78" s="1074"/>
      <c r="X78" s="1074"/>
      <c r="Y78" s="1056"/>
      <c r="Z78" s="1074"/>
      <c r="AA78" s="1074"/>
      <c r="AB78" s="1074"/>
      <c r="AC78" s="1074"/>
    </row>
    <row r="79" spans="1:30" ht="15" hidden="1" customHeight="1">
      <c r="B79" s="63" t="str">
        <f t="shared" si="21"/>
        <v>Hide</v>
      </c>
      <c r="G79" s="1063"/>
      <c r="I79" s="1075" t="s">
        <v>688</v>
      </c>
      <c r="N79" s="1076">
        <f>SUM(N70:N78)</f>
        <v>0</v>
      </c>
      <c r="O79" s="1074"/>
      <c r="P79" s="1056"/>
      <c r="Q79" s="1076">
        <f>SUM(Q70:Q78)</f>
        <v>0</v>
      </c>
      <c r="R79" s="1074"/>
      <c r="S79" s="1056"/>
      <c r="T79" s="1076">
        <f>SUM(T70:T78)</f>
        <v>0</v>
      </c>
      <c r="U79" s="1074"/>
      <c r="V79" s="1056"/>
      <c r="W79" s="1076">
        <f>SUM(W70:W78)</f>
        <v>0</v>
      </c>
      <c r="X79" s="1074"/>
      <c r="Y79" s="1056"/>
      <c r="Z79" s="1076">
        <f>SUM(Z70:Z78)</f>
        <v>0</v>
      </c>
      <c r="AA79" s="1074"/>
      <c r="AB79" s="1074"/>
      <c r="AC79" s="1076">
        <f>SUM(AC70:AC78)</f>
        <v>0</v>
      </c>
      <c r="AD79" s="63">
        <f>ABS(SUM(N79:AB79))</f>
        <v>0</v>
      </c>
    </row>
    <row r="80" spans="1:30" ht="9.9499999999999993" customHeight="1">
      <c r="B80" s="63" t="s">
        <v>62</v>
      </c>
      <c r="G80" s="1063"/>
      <c r="I80" s="1078"/>
      <c r="N80" s="1074"/>
      <c r="O80" s="1074"/>
      <c r="P80" s="1056"/>
      <c r="Q80" s="1074"/>
      <c r="R80" s="1074"/>
      <c r="S80" s="1056"/>
      <c r="T80" s="1074"/>
      <c r="U80" s="1074"/>
      <c r="V80" s="1056"/>
      <c r="W80" s="1074"/>
      <c r="X80" s="1074"/>
      <c r="Y80" s="1056"/>
      <c r="Z80" s="1074"/>
      <c r="AA80" s="1074"/>
      <c r="AB80" s="1074"/>
      <c r="AC80" s="1074"/>
    </row>
    <row r="81" spans="1:30">
      <c r="B81" s="63" t="str">
        <f>IF(AD81=0,"Hide","Show")</f>
        <v>Show</v>
      </c>
      <c r="G81" s="1063"/>
      <c r="I81" s="1079" t="s">
        <v>689</v>
      </c>
      <c r="J81" s="1080"/>
      <c r="K81" s="1080"/>
      <c r="L81" s="1080"/>
      <c r="M81" s="1080"/>
      <c r="N81" s="1081">
        <f>N79+N69</f>
        <v>1268161</v>
      </c>
      <c r="O81" s="1082"/>
      <c r="P81" s="1082"/>
      <c r="Q81" s="1083">
        <f>Q79+Q69</f>
        <v>0</v>
      </c>
      <c r="R81" s="1082"/>
      <c r="S81" s="1082"/>
      <c r="T81" s="1083">
        <f>T79+T69</f>
        <v>0</v>
      </c>
      <c r="U81" s="1082"/>
      <c r="V81" s="1082"/>
      <c r="W81" s="1081">
        <f>W79+W69</f>
        <v>1695234</v>
      </c>
      <c r="X81" s="1082"/>
      <c r="Y81" s="1082"/>
      <c r="Z81" s="1081">
        <f>Z79+Z69</f>
        <v>485290</v>
      </c>
      <c r="AA81" s="1082"/>
      <c r="AB81" s="1082"/>
      <c r="AC81" s="1084">
        <f>SUM(N81:AB81)</f>
        <v>3448685</v>
      </c>
      <c r="AD81" s="63">
        <f>ABS(SUM(N81:AB81))</f>
        <v>3448685</v>
      </c>
    </row>
    <row r="82" spans="1:30">
      <c r="B82" s="63" t="s">
        <v>62</v>
      </c>
      <c r="G82" s="1063"/>
      <c r="N82" s="1074"/>
      <c r="O82" s="1074"/>
      <c r="P82" s="1056"/>
      <c r="Q82" s="1074"/>
      <c r="R82" s="1074"/>
      <c r="S82" s="1056"/>
      <c r="T82" s="1074"/>
      <c r="U82" s="1074"/>
      <c r="V82" s="1056"/>
      <c r="W82" s="1074"/>
      <c r="X82" s="1074"/>
      <c r="Y82" s="1056"/>
      <c r="Z82" s="1074"/>
      <c r="AA82" s="1074"/>
      <c r="AB82" s="1074"/>
      <c r="AC82" s="1074"/>
    </row>
    <row r="83" spans="1:30" hidden="1">
      <c r="B83" s="1057" t="s">
        <v>493</v>
      </c>
      <c r="D83" s="63" t="s">
        <v>72</v>
      </c>
      <c r="G83" s="1063"/>
      <c r="N83" s="1056"/>
      <c r="O83" s="1074"/>
      <c r="P83" s="1056"/>
      <c r="Q83" s="1056"/>
      <c r="R83" s="1074"/>
      <c r="S83" s="1056"/>
      <c r="T83" s="1056"/>
      <c r="U83" s="1074"/>
      <c r="V83" s="1056"/>
      <c r="W83" s="1056"/>
      <c r="X83" s="1074"/>
      <c r="Y83" s="1056"/>
      <c r="Z83" s="1056"/>
      <c r="AA83" s="1074"/>
      <c r="AB83" s="1074"/>
      <c r="AC83" s="1074"/>
    </row>
    <row r="84" spans="1:30" hidden="1">
      <c r="B84" s="63" t="s">
        <v>493</v>
      </c>
      <c r="G84" s="1063"/>
      <c r="I84" s="1085" t="s">
        <v>690</v>
      </c>
      <c r="N84" s="1056"/>
      <c r="O84" s="1056"/>
      <c r="P84" s="1056"/>
      <c r="Q84" s="1056"/>
      <c r="R84" s="1056"/>
      <c r="S84" s="1056"/>
      <c r="T84" s="1056"/>
      <c r="U84" s="1056"/>
      <c r="V84" s="1056"/>
      <c r="W84" s="1056"/>
      <c r="X84" s="1056"/>
      <c r="Y84" s="1056"/>
      <c r="Z84" s="1056"/>
      <c r="AA84" s="1056"/>
      <c r="AB84" s="1056"/>
      <c r="AC84" s="1056"/>
    </row>
    <row r="85" spans="1:30" ht="7.5" hidden="1" customHeight="1">
      <c r="B85" s="63" t="s">
        <v>493</v>
      </c>
      <c r="G85" s="1063"/>
      <c r="I85" s="1085"/>
      <c r="N85" s="1056"/>
      <c r="O85" s="1056"/>
      <c r="P85" s="1056"/>
      <c r="Q85" s="1056"/>
      <c r="R85" s="1056"/>
      <c r="S85" s="1056"/>
      <c r="T85" s="1056"/>
      <c r="U85" s="1056"/>
      <c r="V85" s="1056"/>
      <c r="W85" s="1056"/>
      <c r="X85" s="1056"/>
      <c r="Y85" s="1056"/>
      <c r="Z85" s="1056"/>
      <c r="AA85" s="1056"/>
      <c r="AB85" s="1056"/>
      <c r="AC85" s="1056"/>
    </row>
    <row r="86" spans="1:30">
      <c r="B86" s="63" t="str">
        <f>IF(AD107=0,"Hide","Show")</f>
        <v>Show</v>
      </c>
      <c r="C86" s="1058" t="s">
        <v>691</v>
      </c>
      <c r="E86" s="1066"/>
      <c r="G86" s="1063"/>
      <c r="I86" s="1086" t="s">
        <v>692</v>
      </c>
      <c r="N86" s="1056"/>
      <c r="O86" s="1056"/>
      <c r="P86" s="1056"/>
      <c r="Q86" s="1056"/>
      <c r="R86" s="1056"/>
      <c r="S86" s="1056"/>
      <c r="T86" s="1056"/>
      <c r="U86" s="1056"/>
      <c r="V86" s="1056"/>
      <c r="W86" s="1056"/>
      <c r="X86" s="1056"/>
      <c r="Y86" s="1056"/>
      <c r="Z86" s="1056"/>
      <c r="AA86" s="1056"/>
      <c r="AB86" s="1056"/>
      <c r="AC86" s="1056"/>
    </row>
    <row r="87" spans="1:30" ht="9.9499999999999993" hidden="1" customHeight="1">
      <c r="B87" s="63" t="str">
        <f t="shared" ref="B87:B88" si="22">IF($F$3="No","Hide","Show")</f>
        <v>Hide</v>
      </c>
      <c r="E87" s="1066"/>
      <c r="G87" s="1063"/>
      <c r="I87" s="1086"/>
      <c r="N87" s="1056"/>
      <c r="O87" s="1056"/>
      <c r="P87" s="1056"/>
      <c r="Q87" s="1056"/>
      <c r="R87" s="1056"/>
      <c r="S87" s="1056"/>
      <c r="T87" s="1056"/>
      <c r="U87" s="1056"/>
      <c r="V87" s="1056"/>
      <c r="W87" s="1056"/>
      <c r="X87" s="1056"/>
      <c r="Y87" s="1056"/>
      <c r="Z87" s="1056"/>
      <c r="AA87" s="1056"/>
      <c r="AB87" s="1056"/>
      <c r="AC87" s="1056"/>
    </row>
    <row r="88" spans="1:30" hidden="1">
      <c r="B88" s="63" t="str">
        <f t="shared" si="22"/>
        <v>Hide</v>
      </c>
      <c r="D88" s="1066"/>
      <c r="E88" s="1066"/>
      <c r="G88" s="1063"/>
      <c r="I88" s="1026" t="s">
        <v>693</v>
      </c>
      <c r="N88" s="1056"/>
      <c r="O88" s="1056"/>
      <c r="P88" s="1056"/>
      <c r="Q88" s="1056"/>
      <c r="R88" s="1056"/>
      <c r="S88" s="1056"/>
      <c r="T88" s="1056"/>
      <c r="U88" s="1056"/>
      <c r="V88" s="1056"/>
      <c r="W88" s="1056"/>
      <c r="X88" s="1056"/>
      <c r="Y88" s="1056"/>
      <c r="Z88" s="1056"/>
      <c r="AA88" s="1056"/>
      <c r="AB88" s="1056"/>
      <c r="AC88" s="1056"/>
    </row>
    <row r="89" spans="1:30" ht="17.100000000000001" customHeight="1">
      <c r="B89" s="63" t="s">
        <v>694</v>
      </c>
      <c r="C89" s="1062"/>
      <c r="D89" s="1066" t="s">
        <v>695</v>
      </c>
      <c r="E89" s="1066"/>
      <c r="G89" s="1063">
        <v>202000</v>
      </c>
      <c r="I89" s="1064" t="s">
        <v>696</v>
      </c>
      <c r="N89" s="1065">
        <v>58979</v>
      </c>
      <c r="O89" s="1056"/>
      <c r="P89" s="1056"/>
      <c r="Q89" s="1056">
        <v>0</v>
      </c>
      <c r="R89" s="1056"/>
      <c r="S89" s="1056"/>
      <c r="T89" s="1056">
        <v>0</v>
      </c>
      <c r="U89" s="1056"/>
      <c r="V89" s="1056"/>
      <c r="W89" s="1065">
        <v>0</v>
      </c>
      <c r="X89" s="1056"/>
      <c r="Y89" s="1056"/>
      <c r="Z89" s="1065">
        <v>0</v>
      </c>
      <c r="AA89" s="1056"/>
      <c r="AB89" s="1056"/>
      <c r="AC89" s="1065">
        <f t="shared" ref="AC89:AC98" si="23">SUM(N89:AB89)</f>
        <v>58979</v>
      </c>
      <c r="AD89" s="63">
        <f t="shared" ref="AD89:AD98" si="24">ABS(SUM(N89:AB89))</f>
        <v>58979</v>
      </c>
    </row>
    <row r="90" spans="1:30" ht="17.100000000000001" customHeight="1">
      <c r="B90" s="63" t="str">
        <f t="shared" ref="B90:B98" si="25">IF(AD90=0,"Hide","Show")</f>
        <v>Show</v>
      </c>
      <c r="C90" s="1077"/>
      <c r="G90" s="1063" t="s">
        <v>697</v>
      </c>
      <c r="I90" s="1064" t="s">
        <v>698</v>
      </c>
      <c r="N90" s="1056">
        <v>33430</v>
      </c>
      <c r="O90" s="1056"/>
      <c r="P90" s="1056"/>
      <c r="Q90" s="1056">
        <v>0</v>
      </c>
      <c r="R90" s="1056"/>
      <c r="S90" s="1056"/>
      <c r="T90" s="1056">
        <v>0</v>
      </c>
      <c r="U90" s="1056"/>
      <c r="V90" s="1056"/>
      <c r="W90" s="1056">
        <v>0</v>
      </c>
      <c r="X90" s="1056"/>
      <c r="Y90" s="1056"/>
      <c r="Z90" s="1056">
        <v>0</v>
      </c>
      <c r="AA90" s="1056"/>
      <c r="AB90" s="1056"/>
      <c r="AC90" s="1056">
        <f t="shared" si="23"/>
        <v>33430</v>
      </c>
      <c r="AD90" s="63">
        <f t="shared" si="24"/>
        <v>33430</v>
      </c>
    </row>
    <row r="91" spans="1:30" ht="17.100000000000001" hidden="1" customHeight="1">
      <c r="A91" s="63" t="s">
        <v>76</v>
      </c>
      <c r="B91" s="63" t="str">
        <f t="shared" si="25"/>
        <v>Hide</v>
      </c>
      <c r="C91" s="1077"/>
      <c r="G91" s="1063" t="str">
        <f>"205500"</f>
        <v>205500</v>
      </c>
      <c r="I91" s="1064" t="s">
        <v>699</v>
      </c>
      <c r="N91" s="1056">
        <v>0</v>
      </c>
      <c r="O91" s="1056"/>
      <c r="P91" s="1056"/>
      <c r="Q91" s="1056">
        <v>0</v>
      </c>
      <c r="R91" s="1056"/>
      <c r="S91" s="1056"/>
      <c r="T91" s="1056">
        <v>0</v>
      </c>
      <c r="U91" s="1056"/>
      <c r="V91" s="1056"/>
      <c r="W91" s="1056">
        <v>0</v>
      </c>
      <c r="X91" s="1056"/>
      <c r="Y91" s="1056"/>
      <c r="Z91" s="1056">
        <v>0</v>
      </c>
      <c r="AA91" s="1056"/>
      <c r="AB91" s="1056"/>
      <c r="AC91" s="1056">
        <f t="shared" si="23"/>
        <v>0</v>
      </c>
      <c r="AD91" s="63">
        <f t="shared" si="24"/>
        <v>0</v>
      </c>
    </row>
    <row r="92" spans="1:30" ht="17.100000000000001" hidden="1" customHeight="1">
      <c r="A92" s="63" t="s">
        <v>76</v>
      </c>
      <c r="B92" s="63" t="str">
        <f t="shared" si="25"/>
        <v>Hide</v>
      </c>
      <c r="C92" s="1077"/>
      <c r="G92" s="1063" t="str">
        <f>"208000"</f>
        <v>208000</v>
      </c>
      <c r="I92" s="1064" t="s">
        <v>700</v>
      </c>
      <c r="N92" s="1056">
        <v>0</v>
      </c>
      <c r="O92" s="1056"/>
      <c r="P92" s="1056"/>
      <c r="Q92" s="1056">
        <v>0</v>
      </c>
      <c r="R92" s="1056"/>
      <c r="S92" s="1056"/>
      <c r="T92" s="1056">
        <v>0</v>
      </c>
      <c r="U92" s="1056"/>
      <c r="V92" s="1056"/>
      <c r="W92" s="1056">
        <v>0</v>
      </c>
      <c r="X92" s="1056"/>
      <c r="Y92" s="1056"/>
      <c r="Z92" s="1056">
        <v>0</v>
      </c>
      <c r="AA92" s="1056"/>
      <c r="AB92" s="1056"/>
      <c r="AC92" s="1056">
        <f t="shared" si="23"/>
        <v>0</v>
      </c>
      <c r="AD92" s="63">
        <f t="shared" si="24"/>
        <v>0</v>
      </c>
    </row>
    <row r="93" spans="1:30" ht="17.100000000000001" hidden="1" customHeight="1">
      <c r="A93" s="63" t="s">
        <v>76</v>
      </c>
      <c r="B93" s="63" t="str">
        <f t="shared" si="25"/>
        <v>Hide</v>
      </c>
      <c r="C93" s="1077"/>
      <c r="G93" s="1063" t="str">
        <f>"216000"</f>
        <v>216000</v>
      </c>
      <c r="I93" s="1064" t="s">
        <v>701</v>
      </c>
      <c r="N93" s="1056">
        <v>0</v>
      </c>
      <c r="O93" s="1056"/>
      <c r="P93" s="1056"/>
      <c r="Q93" s="1056">
        <v>0</v>
      </c>
      <c r="R93" s="1056"/>
      <c r="S93" s="1056"/>
      <c r="T93" s="1056">
        <v>0</v>
      </c>
      <c r="U93" s="1056"/>
      <c r="V93" s="1056"/>
      <c r="W93" s="1056">
        <v>0</v>
      </c>
      <c r="X93" s="1056"/>
      <c r="Y93" s="1056"/>
      <c r="Z93" s="1056">
        <v>0</v>
      </c>
      <c r="AA93" s="1056"/>
      <c r="AB93" s="1056"/>
      <c r="AC93" s="1056">
        <f t="shared" si="23"/>
        <v>0</v>
      </c>
      <c r="AD93" s="63">
        <f t="shared" si="24"/>
        <v>0</v>
      </c>
    </row>
    <row r="94" spans="1:30" ht="17.100000000000001" customHeight="1">
      <c r="A94" s="63" t="s">
        <v>76</v>
      </c>
      <c r="B94" s="63" t="str">
        <f t="shared" si="25"/>
        <v>Show</v>
      </c>
      <c r="C94" s="1077"/>
      <c r="G94" s="1063" t="str">
        <f>"217000"</f>
        <v>217000</v>
      </c>
      <c r="I94" s="1064" t="s">
        <v>702</v>
      </c>
      <c r="N94" s="1056">
        <v>122</v>
      </c>
      <c r="O94" s="1056"/>
      <c r="P94" s="1056"/>
      <c r="Q94" s="1056">
        <v>0</v>
      </c>
      <c r="R94" s="1056"/>
      <c r="S94" s="1056"/>
      <c r="T94" s="1056">
        <v>0</v>
      </c>
      <c r="U94" s="1056"/>
      <c r="V94" s="1056"/>
      <c r="W94" s="1056">
        <v>0</v>
      </c>
      <c r="X94" s="1056"/>
      <c r="Y94" s="1056"/>
      <c r="Z94" s="1056">
        <v>0</v>
      </c>
      <c r="AA94" s="1056"/>
      <c r="AB94" s="1056"/>
      <c r="AC94" s="1056">
        <f t="shared" si="23"/>
        <v>122</v>
      </c>
      <c r="AD94" s="63">
        <f t="shared" si="24"/>
        <v>122</v>
      </c>
    </row>
    <row r="95" spans="1:30" ht="17.100000000000001" hidden="1" customHeight="1">
      <c r="A95" s="63" t="s">
        <v>76</v>
      </c>
      <c r="B95" s="63" t="str">
        <f t="shared" si="25"/>
        <v>Hide</v>
      </c>
      <c r="C95" s="1077"/>
      <c r="G95" s="1063" t="str">
        <f>"220000"</f>
        <v>220000</v>
      </c>
      <c r="I95" s="1064" t="s">
        <v>503</v>
      </c>
      <c r="N95" s="1056">
        <v>0</v>
      </c>
      <c r="O95" s="1056"/>
      <c r="P95" s="1056"/>
      <c r="Q95" s="1056">
        <v>0</v>
      </c>
      <c r="R95" s="1056"/>
      <c r="S95" s="1056"/>
      <c r="T95" s="1056">
        <v>0</v>
      </c>
      <c r="U95" s="1056"/>
      <c r="V95" s="1056"/>
      <c r="W95" s="1056">
        <v>0</v>
      </c>
      <c r="X95" s="1056"/>
      <c r="Y95" s="1056"/>
      <c r="Z95" s="1056">
        <v>0</v>
      </c>
      <c r="AA95" s="1056"/>
      <c r="AB95" s="1056"/>
      <c r="AC95" s="1056">
        <f t="shared" si="23"/>
        <v>0</v>
      </c>
      <c r="AD95" s="63">
        <f t="shared" si="24"/>
        <v>0</v>
      </c>
    </row>
    <row r="96" spans="1:30" ht="17.100000000000001" customHeight="1">
      <c r="A96" s="63" t="s">
        <v>76</v>
      </c>
      <c r="B96" s="63" t="str">
        <f t="shared" si="25"/>
        <v>Show</v>
      </c>
      <c r="C96" s="1077"/>
      <c r="G96" s="1063" t="str">
        <f>"223000"</f>
        <v>223000</v>
      </c>
      <c r="I96" s="1064" t="s">
        <v>703</v>
      </c>
      <c r="N96" s="1056">
        <v>3500</v>
      </c>
      <c r="O96" s="1056"/>
      <c r="P96" s="1056"/>
      <c r="Q96" s="1056">
        <v>0</v>
      </c>
      <c r="R96" s="1056"/>
      <c r="S96" s="1056"/>
      <c r="T96" s="1056">
        <v>0</v>
      </c>
      <c r="U96" s="1056"/>
      <c r="V96" s="1056"/>
      <c r="W96" s="1056">
        <v>4294</v>
      </c>
      <c r="X96" s="1056"/>
      <c r="Y96" s="1056"/>
      <c r="Z96" s="1056">
        <v>0</v>
      </c>
      <c r="AA96" s="1056"/>
      <c r="AB96" s="1056"/>
      <c r="AC96" s="1056">
        <f t="shared" si="23"/>
        <v>7794</v>
      </c>
      <c r="AD96" s="63">
        <f t="shared" si="24"/>
        <v>7794</v>
      </c>
    </row>
    <row r="97" spans="1:30" ht="17.100000000000001" hidden="1" customHeight="1">
      <c r="A97" s="63" t="s">
        <v>76</v>
      </c>
      <c r="B97" s="63" t="str">
        <f t="shared" si="25"/>
        <v>Hide</v>
      </c>
      <c r="C97" s="1077"/>
      <c r="G97" s="1063" t="str">
        <f>"229000"</f>
        <v>229000</v>
      </c>
      <c r="I97" s="1064" t="s">
        <v>704</v>
      </c>
      <c r="N97" s="1056">
        <v>0</v>
      </c>
      <c r="O97" s="1056"/>
      <c r="P97" s="1056"/>
      <c r="Q97" s="1056">
        <v>0</v>
      </c>
      <c r="R97" s="1056"/>
      <c r="S97" s="1056"/>
      <c r="T97" s="1056">
        <v>0</v>
      </c>
      <c r="U97" s="1056"/>
      <c r="V97" s="1056"/>
      <c r="W97" s="1056">
        <v>0</v>
      </c>
      <c r="X97" s="1056"/>
      <c r="Y97" s="1056"/>
      <c r="Z97" s="1056">
        <v>0</v>
      </c>
      <c r="AA97" s="1056"/>
      <c r="AB97" s="1056"/>
      <c r="AC97" s="1056">
        <f t="shared" si="23"/>
        <v>0</v>
      </c>
      <c r="AD97" s="63">
        <f t="shared" si="24"/>
        <v>0</v>
      </c>
    </row>
    <row r="98" spans="1:30" ht="17.100000000000001" hidden="1" customHeight="1">
      <c r="B98" s="63" t="str">
        <f t="shared" si="25"/>
        <v>Hide</v>
      </c>
      <c r="G98" s="1063">
        <v>207000</v>
      </c>
      <c r="I98" s="1064" t="s">
        <v>647</v>
      </c>
      <c r="N98" s="1074">
        <f>IF(N44&gt;0,0,-N44)</f>
        <v>0</v>
      </c>
      <c r="O98" s="1056"/>
      <c r="P98" s="1056"/>
      <c r="Q98" s="1074">
        <f>IF(Q44&gt;0,0,-Q44)</f>
        <v>0</v>
      </c>
      <c r="R98" s="1056"/>
      <c r="S98" s="1056"/>
      <c r="T98" s="1074">
        <f>IF(T44&gt;0,0,-T44)</f>
        <v>0</v>
      </c>
      <c r="U98" s="1056"/>
      <c r="V98" s="1056"/>
      <c r="W98" s="1074">
        <f>IF(W44&gt;0,0,-W44)</f>
        <v>0</v>
      </c>
      <c r="X98" s="1056"/>
      <c r="Y98" s="1056"/>
      <c r="Z98" s="1074">
        <f>IF(Z44&gt;0,0,-Z44)</f>
        <v>0</v>
      </c>
      <c r="AA98" s="1056"/>
      <c r="AB98" s="1056"/>
      <c r="AC98" s="1074">
        <f t="shared" si="23"/>
        <v>0</v>
      </c>
      <c r="AD98" s="63">
        <f t="shared" si="24"/>
        <v>0</v>
      </c>
    </row>
    <row r="99" spans="1:30" ht="6.95" hidden="1" customHeight="1">
      <c r="B99" s="63" t="str">
        <f t="shared" ref="B99:B102" si="26">IF($F$3="No","Hide","Show")</f>
        <v>Hide</v>
      </c>
      <c r="G99" s="1063"/>
      <c r="I99" s="1064"/>
      <c r="N99" s="1074"/>
      <c r="O99" s="1056"/>
      <c r="P99" s="1056"/>
      <c r="Q99" s="1074"/>
      <c r="R99" s="1056"/>
      <c r="S99" s="1056"/>
      <c r="T99" s="1074"/>
      <c r="U99" s="1056"/>
      <c r="V99" s="1056"/>
      <c r="W99" s="1074"/>
      <c r="X99" s="1056"/>
      <c r="Y99" s="1056"/>
      <c r="Z99" s="1074"/>
      <c r="AA99" s="1056"/>
      <c r="AB99" s="1056"/>
      <c r="AC99" s="1074"/>
    </row>
    <row r="100" spans="1:30" ht="17.100000000000001" hidden="1" customHeight="1">
      <c r="B100" s="63" t="str">
        <f t="shared" si="26"/>
        <v>Hide</v>
      </c>
      <c r="G100" s="1063"/>
      <c r="I100" s="1075" t="s">
        <v>705</v>
      </c>
      <c r="N100" s="1087">
        <f>SUM(N88:N99)</f>
        <v>96031</v>
      </c>
      <c r="O100" s="1056"/>
      <c r="P100" s="1056"/>
      <c r="Q100" s="1087">
        <f>SUM(Q88:Q99)</f>
        <v>0</v>
      </c>
      <c r="R100" s="1056"/>
      <c r="S100" s="1056"/>
      <c r="T100" s="1087">
        <f>SUM(T88:T99)</f>
        <v>0</v>
      </c>
      <c r="U100" s="1056"/>
      <c r="V100" s="1056"/>
      <c r="W100" s="1087">
        <f>SUM(W88:W99)</f>
        <v>4294</v>
      </c>
      <c r="X100" s="1056"/>
      <c r="Y100" s="1056"/>
      <c r="Z100" s="1087">
        <f>SUM(Z88:Z99)</f>
        <v>0</v>
      </c>
      <c r="AA100" s="1056"/>
      <c r="AB100" s="1056"/>
      <c r="AC100" s="1087">
        <f>SUM(N100:AB100)</f>
        <v>100325</v>
      </c>
      <c r="AD100" s="63">
        <f>ABS(SUM(N100:AB100))</f>
        <v>100325</v>
      </c>
    </row>
    <row r="101" spans="1:30" ht="12" hidden="1" customHeight="1">
      <c r="B101" s="63" t="str">
        <f t="shared" si="26"/>
        <v>Hide</v>
      </c>
      <c r="G101" s="1063"/>
      <c r="I101" s="1064"/>
      <c r="N101" s="1074"/>
      <c r="O101" s="1056"/>
      <c r="P101" s="1056"/>
      <c r="Q101" s="1074"/>
      <c r="R101" s="1056"/>
      <c r="S101" s="1056"/>
      <c r="T101" s="1074"/>
      <c r="U101" s="1056"/>
      <c r="V101" s="1056"/>
      <c r="W101" s="1074"/>
      <c r="X101" s="1056"/>
      <c r="Y101" s="1056"/>
      <c r="Z101" s="1074"/>
      <c r="AA101" s="1056"/>
      <c r="AB101" s="1056"/>
      <c r="AC101" s="1074"/>
    </row>
    <row r="102" spans="1:30" ht="17.100000000000001" hidden="1" customHeight="1">
      <c r="B102" s="63" t="str">
        <f t="shared" si="26"/>
        <v>Hide</v>
      </c>
      <c r="G102" s="1063"/>
      <c r="I102" s="1026" t="s">
        <v>706</v>
      </c>
      <c r="N102" s="1074"/>
      <c r="O102" s="1056"/>
      <c r="P102" s="1056"/>
      <c r="Q102" s="1074"/>
      <c r="R102" s="1056"/>
      <c r="S102" s="1056"/>
      <c r="T102" s="1074"/>
      <c r="U102" s="1056"/>
      <c r="V102" s="1056"/>
      <c r="W102" s="1074"/>
      <c r="X102" s="1056"/>
      <c r="Y102" s="1056"/>
      <c r="Z102" s="1074"/>
      <c r="AA102" s="1056"/>
      <c r="AB102" s="1056"/>
      <c r="AC102" s="1074"/>
    </row>
    <row r="103" spans="1:30" ht="15.95" hidden="1" customHeight="1">
      <c r="B103" s="63" t="str">
        <f>IF(AD103=0,"Hide","Show")</f>
        <v>Hide</v>
      </c>
      <c r="C103" s="1058" t="s">
        <v>691</v>
      </c>
      <c r="D103" s="1066" t="s">
        <v>707</v>
      </c>
      <c r="G103" s="1063"/>
      <c r="I103" s="1064"/>
      <c r="N103" s="1056">
        <v>0</v>
      </c>
      <c r="O103" s="1056"/>
      <c r="P103" s="1056"/>
      <c r="Q103" s="1056">
        <v>0</v>
      </c>
      <c r="R103" s="1056"/>
      <c r="S103" s="1056"/>
      <c r="T103" s="1056">
        <v>0</v>
      </c>
      <c r="U103" s="1056"/>
      <c r="V103" s="1056"/>
      <c r="W103" s="1056">
        <v>0</v>
      </c>
      <c r="X103" s="1056"/>
      <c r="Y103" s="1056"/>
      <c r="Z103" s="1056">
        <v>0</v>
      </c>
      <c r="AA103" s="1056"/>
      <c r="AB103" s="1056"/>
      <c r="AC103" s="1074">
        <f>SUM(N103:AB103)</f>
        <v>0</v>
      </c>
      <c r="AD103" s="63">
        <f>ABS(SUM(N103:AB103))</f>
        <v>0</v>
      </c>
    </row>
    <row r="104" spans="1:30" ht="6.95" hidden="1" customHeight="1">
      <c r="B104" s="63" t="str">
        <f t="shared" ref="B104:B105" si="27">IF($F$3="No","Hide","Show")</f>
        <v>Hide</v>
      </c>
      <c r="C104" s="1062"/>
      <c r="G104" s="1063"/>
      <c r="I104" s="1064"/>
      <c r="N104" s="1074"/>
      <c r="O104" s="1056"/>
      <c r="P104" s="1056"/>
      <c r="Q104" s="1074"/>
      <c r="R104" s="1056"/>
      <c r="S104" s="1056"/>
      <c r="T104" s="1074"/>
      <c r="U104" s="1056"/>
      <c r="V104" s="1056"/>
      <c r="W104" s="1074"/>
      <c r="X104" s="1056"/>
      <c r="Y104" s="1056"/>
      <c r="Z104" s="1074"/>
      <c r="AA104" s="1056"/>
      <c r="AB104" s="1056"/>
      <c r="AC104" s="1074"/>
    </row>
    <row r="105" spans="1:30" ht="17.100000000000001" hidden="1" customHeight="1">
      <c r="B105" s="63" t="str">
        <f t="shared" si="27"/>
        <v>Hide</v>
      </c>
      <c r="G105" s="1063"/>
      <c r="I105" s="1075" t="s">
        <v>708</v>
      </c>
      <c r="N105" s="1087">
        <f>SUM(N103:N104)</f>
        <v>0</v>
      </c>
      <c r="O105" s="1056"/>
      <c r="P105" s="1056"/>
      <c r="Q105" s="1087">
        <f>SUM(Q103:Q104)</f>
        <v>0</v>
      </c>
      <c r="R105" s="1056"/>
      <c r="S105" s="1056"/>
      <c r="T105" s="1087">
        <f>SUM(T103:T104)</f>
        <v>0</v>
      </c>
      <c r="U105" s="1056"/>
      <c r="V105" s="1056"/>
      <c r="W105" s="1087">
        <f>SUM(W103:W104)</f>
        <v>0</v>
      </c>
      <c r="X105" s="1056"/>
      <c r="Y105" s="1056"/>
      <c r="Z105" s="1087">
        <f>SUM(Z103:Z104)</f>
        <v>0</v>
      </c>
      <c r="AA105" s="1056"/>
      <c r="AB105" s="1056"/>
      <c r="AC105" s="1087">
        <f>SUM(N105:AB105)</f>
        <v>0</v>
      </c>
      <c r="AD105" s="63">
        <f>ABS(SUM(N105:AB105))</f>
        <v>0</v>
      </c>
    </row>
    <row r="106" spans="1:30" ht="7.5" customHeight="1">
      <c r="B106" s="63" t="s">
        <v>694</v>
      </c>
      <c r="G106" s="1063"/>
      <c r="I106" s="1049"/>
      <c r="J106" s="1049"/>
      <c r="K106" s="1049"/>
      <c r="L106" s="1049"/>
      <c r="M106" s="1049"/>
      <c r="N106" s="1074"/>
      <c r="O106" s="1074"/>
      <c r="P106" s="1074"/>
      <c r="Q106" s="1074"/>
      <c r="R106" s="1074"/>
      <c r="S106" s="1074"/>
      <c r="T106" s="1074"/>
      <c r="U106" s="1074"/>
      <c r="V106" s="1074"/>
      <c r="W106" s="1074"/>
      <c r="X106" s="1074"/>
      <c r="Y106" s="1074"/>
      <c r="Z106" s="1074"/>
      <c r="AA106" s="1074"/>
      <c r="AB106" s="1074"/>
      <c r="AC106" s="1074"/>
    </row>
    <row r="107" spans="1:30" ht="15.75" customHeight="1">
      <c r="B107" s="63" t="s">
        <v>694</v>
      </c>
      <c r="G107" s="1063"/>
      <c r="I107" s="1088" t="s">
        <v>709</v>
      </c>
      <c r="J107" s="1089"/>
      <c r="K107" s="1089"/>
      <c r="L107" s="1089"/>
      <c r="M107" s="1089"/>
      <c r="N107" s="1090">
        <f>N105+N100</f>
        <v>96031</v>
      </c>
      <c r="O107" s="1087"/>
      <c r="P107" s="1087"/>
      <c r="Q107" s="1091">
        <f>Q105+Q100</f>
        <v>0</v>
      </c>
      <c r="R107" s="1087"/>
      <c r="S107" s="1087"/>
      <c r="T107" s="1091">
        <f>T105+T100</f>
        <v>0</v>
      </c>
      <c r="U107" s="1087"/>
      <c r="V107" s="1087"/>
      <c r="W107" s="1090">
        <f>W105+W100</f>
        <v>4294</v>
      </c>
      <c r="X107" s="1087"/>
      <c r="Y107" s="1087"/>
      <c r="Z107" s="1090">
        <f>Z105+Z100</f>
        <v>0</v>
      </c>
      <c r="AA107" s="1087"/>
      <c r="AB107" s="1087"/>
      <c r="AC107" s="1092">
        <f>AC105+AC100</f>
        <v>100325</v>
      </c>
      <c r="AD107" s="63">
        <f>ABS(SUM(N107:AB107))</f>
        <v>100325</v>
      </c>
    </row>
    <row r="108" spans="1:30">
      <c r="B108" s="63" t="s">
        <v>694</v>
      </c>
      <c r="G108" s="1063"/>
      <c r="I108" s="1093"/>
      <c r="N108" s="1056"/>
      <c r="O108" s="1056"/>
      <c r="P108" s="1056"/>
      <c r="Q108" s="1056"/>
      <c r="R108" s="1056"/>
      <c r="S108" s="1056"/>
      <c r="T108" s="1056"/>
      <c r="U108" s="1056"/>
      <c r="V108" s="1056"/>
      <c r="W108" s="1056"/>
      <c r="X108" s="1056"/>
      <c r="Y108" s="1056"/>
      <c r="Z108" s="1056"/>
      <c r="AA108" s="1056"/>
      <c r="AB108" s="1056"/>
      <c r="AC108" s="1056"/>
    </row>
    <row r="109" spans="1:30" ht="60" hidden="1">
      <c r="B109" s="1057" t="s">
        <v>493</v>
      </c>
      <c r="D109" s="1068" t="s">
        <v>710</v>
      </c>
      <c r="E109" s="1068" t="s">
        <v>711</v>
      </c>
      <c r="F109" s="1068"/>
      <c r="G109" s="1094"/>
      <c r="J109" s="1044"/>
      <c r="N109" s="1056"/>
      <c r="O109" s="1056"/>
      <c r="P109" s="1056"/>
      <c r="Q109" s="1056"/>
      <c r="R109" s="1056"/>
      <c r="S109" s="1056"/>
      <c r="T109" s="1056"/>
      <c r="U109" s="1056"/>
      <c r="V109" s="1056"/>
      <c r="W109" s="1056"/>
      <c r="X109" s="1056"/>
      <c r="Y109" s="1056"/>
      <c r="Z109" s="1056"/>
      <c r="AA109" s="1056"/>
      <c r="AB109" s="1056"/>
      <c r="AC109" s="1056"/>
    </row>
    <row r="110" spans="1:30" ht="15" customHeight="1">
      <c r="B110" s="63" t="str">
        <f>IF(AD176=0,"Hide","Show")</f>
        <v>Show</v>
      </c>
      <c r="C110" s="1058" t="s">
        <v>712</v>
      </c>
      <c r="D110" s="1068"/>
      <c r="E110" s="1068"/>
      <c r="G110" s="1063"/>
      <c r="I110" s="1095" t="str">
        <f>IF($AD163=0,"FUND BALANCES",IF($AD110=0,"NET ASSETS","FUND BALANCES / NET ASSETS"))</f>
        <v>FUND BALANCES</v>
      </c>
      <c r="N110" s="1056"/>
      <c r="O110" s="1056"/>
      <c r="P110" s="1056"/>
      <c r="Q110" s="1056"/>
      <c r="R110" s="1056"/>
      <c r="S110" s="1056"/>
      <c r="T110" s="1056"/>
      <c r="U110" s="1056"/>
      <c r="V110" s="1056"/>
      <c r="W110" s="1056"/>
      <c r="X110" s="1056"/>
      <c r="Y110" s="1056"/>
      <c r="Z110" s="1056"/>
      <c r="AA110" s="1056"/>
      <c r="AB110" s="1056"/>
      <c r="AC110" s="1056"/>
      <c r="AD110" s="1096">
        <f>AD112</f>
        <v>3348360</v>
      </c>
    </row>
    <row r="111" spans="1:30" ht="6.95" hidden="1" customHeight="1">
      <c r="B111" s="63" t="str">
        <f>IF(OR($AD163=0,$AD112=0),"Hide","SHOW")</f>
        <v>Hide</v>
      </c>
      <c r="C111" s="1058"/>
      <c r="D111" s="1068" t="s">
        <v>710</v>
      </c>
      <c r="E111" s="1068"/>
      <c r="G111" s="1063"/>
      <c r="N111" s="1056"/>
      <c r="O111" s="1056"/>
      <c r="P111" s="1056"/>
      <c r="Q111" s="1056"/>
      <c r="R111" s="1056"/>
      <c r="S111" s="1056"/>
      <c r="T111" s="1056"/>
      <c r="U111" s="1056"/>
      <c r="V111" s="1056"/>
      <c r="W111" s="1056"/>
      <c r="X111" s="1056"/>
      <c r="Y111" s="1056"/>
      <c r="Z111" s="1056"/>
      <c r="AA111" s="1056"/>
      <c r="AB111" s="1056"/>
      <c r="AC111" s="1056"/>
      <c r="AD111" s="1097">
        <f>AD180</f>
        <v>0</v>
      </c>
    </row>
    <row r="112" spans="1:30" ht="15.95" hidden="1" customHeight="1">
      <c r="B112" s="63" t="str">
        <f>IF(OR($AD163=0,$AD112=0),"Hide","SHOW")</f>
        <v>Hide</v>
      </c>
      <c r="C112" s="1058"/>
      <c r="D112" s="1068" t="s">
        <v>713</v>
      </c>
      <c r="E112" s="1068"/>
      <c r="G112" s="1063"/>
      <c r="I112" s="1098" t="s">
        <v>712</v>
      </c>
      <c r="N112" s="1056"/>
      <c r="O112" s="1056"/>
      <c r="P112" s="1056"/>
      <c r="Q112" s="1056"/>
      <c r="R112" s="1056"/>
      <c r="S112" s="1056"/>
      <c r="T112" s="1056"/>
      <c r="U112" s="1056"/>
      <c r="V112" s="1056"/>
      <c r="W112" s="1056"/>
      <c r="X112" s="1056"/>
      <c r="Y112" s="1056"/>
      <c r="Z112" s="1056"/>
      <c r="AA112" s="1056"/>
      <c r="AB112" s="1056"/>
      <c r="AC112" s="1056"/>
      <c r="AD112" s="1096">
        <f>SUM(AD113:AD126)</f>
        <v>3348360</v>
      </c>
    </row>
    <row r="113" spans="1:31" ht="15.95" customHeight="1">
      <c r="B113" s="63" t="str">
        <f t="shared" ref="B113:B123" si="28">IF(AD113=0,"Hide","Show")</f>
        <v>Show</v>
      </c>
      <c r="C113" s="1058"/>
      <c r="D113" s="1068"/>
      <c r="E113" s="1068"/>
      <c r="G113" s="1063">
        <v>271100</v>
      </c>
      <c r="I113" s="1064" t="s">
        <v>714</v>
      </c>
      <c r="M113" s="1044" t="str">
        <f>IF(AND(M$16&gt;=200,M$16&lt;=299),"200..299","0")</f>
        <v>0</v>
      </c>
      <c r="N113" s="1099">
        <f>IF(OR($F$5="YES",M113="0"),0,SUM(N81-N107-N175))</f>
        <v>0</v>
      </c>
      <c r="O113" s="1056"/>
      <c r="P113" s="1056" t="str">
        <f>IF(AND(P$16&gt;=200,P$16&lt;=299),"200..299","0")</f>
        <v>200..299</v>
      </c>
      <c r="Q113" s="1100">
        <f>IF(OR($F$5="YES",P113="0"),0,SUM(Q81-Q107-Q175))</f>
        <v>0</v>
      </c>
      <c r="R113" s="1056"/>
      <c r="S113" s="1056" t="str">
        <f>IF(AND(S$16&gt;=200,S$16&lt;=299),"200..299","0")</f>
        <v>200..299</v>
      </c>
      <c r="T113" s="1100">
        <f>IF(OR($F$5="YES",S113="0"),0,SUM(T81-T107-T175))</f>
        <v>0</v>
      </c>
      <c r="U113" s="1056"/>
      <c r="V113" s="1056" t="str">
        <f>IF(AND(V$16&gt;=200,V$16&lt;=299),"200..299","0")</f>
        <v>200..299</v>
      </c>
      <c r="W113" s="1099">
        <f>IF(OR($F$5="YES",V113="0"),0,SUM(W81-W107-W175))</f>
        <v>1690940</v>
      </c>
      <c r="X113" s="1056"/>
      <c r="Y113" s="1056" t="str">
        <f>IF(AND(Y$16&gt;=200,Y$16&lt;=299),"200..299","0")</f>
        <v>200..299</v>
      </c>
      <c r="Z113" s="1099">
        <f>IF(OR($F$5="YES",Y113="0"),0,SUM(Z81-Z107-Z175))</f>
        <v>485290</v>
      </c>
      <c r="AA113" s="1056"/>
      <c r="AB113" s="1056"/>
      <c r="AC113" s="1065">
        <f t="shared" ref="AC113:AC123" si="29">SUM(N113:AB113)</f>
        <v>2176230</v>
      </c>
      <c r="AD113" s="63">
        <f t="shared" ref="AD113:AD123" si="30">ABS(SUM(N113:AB113))</f>
        <v>2176230</v>
      </c>
    </row>
    <row r="114" spans="1:31" ht="15.95" hidden="1" customHeight="1">
      <c r="B114" s="63" t="str">
        <f t="shared" si="28"/>
        <v>Hide</v>
      </c>
      <c r="C114" s="1058"/>
      <c r="D114" s="1068"/>
      <c r="E114" s="1068"/>
      <c r="G114" s="1063">
        <v>271110</v>
      </c>
      <c r="I114" s="1064" t="s">
        <v>715</v>
      </c>
      <c r="M114" s="1044" t="str">
        <f>IF(AND(M$16&gt;=300,M$16&lt;=399),"300..399","0")</f>
        <v>0</v>
      </c>
      <c r="N114" s="1056">
        <f>IF(OR($F$5="YES",M114="0"),0,SUM(N81-N107-N175))</f>
        <v>0</v>
      </c>
      <c r="O114" s="1056"/>
      <c r="P114" s="1056" t="str">
        <f>IF(AND(P$16&gt;=300,P$16&lt;=399),"300..399","0")</f>
        <v>0</v>
      </c>
      <c r="Q114" s="1056">
        <f>IF(OR($F$5="YES",P114="0"),0,SUM(Q81-Q107-Q175))</f>
        <v>0</v>
      </c>
      <c r="R114" s="1056"/>
      <c r="S114" s="1056" t="str">
        <f>IF(AND(S$16&gt;=300,S$16&lt;=399),"300..399","0")</f>
        <v>0</v>
      </c>
      <c r="T114" s="1056">
        <f>IF(OR($F$5="YES",S114="0"),0,SUM(T81-T107-T175))</f>
        <v>0</v>
      </c>
      <c r="U114" s="1056"/>
      <c r="V114" s="1056" t="str">
        <f>IF(AND(V$16&gt;=300,V$16&lt;=399),"300..399","0")</f>
        <v>0</v>
      </c>
      <c r="W114" s="1056">
        <f>IF(OR($F$5="YES",V114="0"),0,SUM(W81-W107-W175))</f>
        <v>0</v>
      </c>
      <c r="X114" s="1056"/>
      <c r="Y114" s="1056" t="str">
        <f>IF(AND(Y$16&gt;=300,Y$16&lt;=399),"300..399","0")</f>
        <v>0</v>
      </c>
      <c r="Z114" s="1056">
        <f>IF(OR($F$5="YES",Y114="0"),0,SUM(Z81-Z107-Z175))</f>
        <v>0</v>
      </c>
      <c r="AA114" s="1056"/>
      <c r="AB114" s="1056"/>
      <c r="AC114" s="1056">
        <f t="shared" si="29"/>
        <v>0</v>
      </c>
      <c r="AD114" s="63">
        <f t="shared" si="30"/>
        <v>0</v>
      </c>
    </row>
    <row r="115" spans="1:31" ht="15.95" hidden="1" customHeight="1">
      <c r="B115" s="63" t="str">
        <f t="shared" si="28"/>
        <v>Hide</v>
      </c>
      <c r="C115" s="1058"/>
      <c r="D115" s="1068"/>
      <c r="E115" s="1068"/>
      <c r="G115" s="1063">
        <v>271110</v>
      </c>
      <c r="I115" s="1064" t="s">
        <v>716</v>
      </c>
      <c r="M115" s="1044" t="str">
        <f>IF(AND(M$16&gt;=100,M$16&lt;=199),"100..199","0")</f>
        <v>0</v>
      </c>
      <c r="N115" s="1056">
        <f>IF(OR($F$5="YES",M115="0"),0,SUM(N81-N107-N175))</f>
        <v>0</v>
      </c>
      <c r="O115" s="1056"/>
      <c r="P115" s="1056" t="str">
        <f>IF(AND(P$16&gt;=100,P$16&lt;=199),"100..199","0")</f>
        <v>0</v>
      </c>
      <c r="Q115" s="1056">
        <f>IF(OR($F$5="YES",P115="0"),0,SUM(Q81-Q107-Q175))</f>
        <v>0</v>
      </c>
      <c r="R115" s="1056"/>
      <c r="S115" s="1056" t="str">
        <f>IF(AND(S$16&gt;=100,S$16&lt;=199),"100..199","0")</f>
        <v>0</v>
      </c>
      <c r="T115" s="1056">
        <f>IF(OR($F$5="YES",S115="0"),0,SUM(T81-T107-T175))</f>
        <v>0</v>
      </c>
      <c r="U115" s="1056"/>
      <c r="V115" s="1056" t="str">
        <f>IF(AND(V$16&gt;=100,V$16&lt;=199),"100..199","0")</f>
        <v>0</v>
      </c>
      <c r="W115" s="1056">
        <f>IF(OR($F$5="YES",V115="0"),0,SUM(W81-W107-W175))</f>
        <v>0</v>
      </c>
      <c r="X115" s="1056"/>
      <c r="Y115" s="1056" t="str">
        <f>IF(AND(Y$16&gt;=100,Y$16&lt;=199),"100..199","0")</f>
        <v>0</v>
      </c>
      <c r="Z115" s="1056">
        <f>IF(OR($F$5="YES",Y115="0"),0,SUM(Z81-Z107-Z175))</f>
        <v>0</v>
      </c>
      <c r="AA115" s="1056"/>
      <c r="AB115" s="1056"/>
      <c r="AC115" s="1056">
        <f t="shared" si="29"/>
        <v>0</v>
      </c>
      <c r="AD115" s="63">
        <f t="shared" si="30"/>
        <v>0</v>
      </c>
    </row>
    <row r="116" spans="1:31" ht="15.95" hidden="1" customHeight="1">
      <c r="B116" s="63" t="str">
        <f t="shared" si="28"/>
        <v>Hide</v>
      </c>
      <c r="C116" s="1058"/>
      <c r="D116" s="1068" t="s">
        <v>710</v>
      </c>
      <c r="E116" s="1068"/>
      <c r="G116" s="1063" t="s">
        <v>717</v>
      </c>
      <c r="I116" s="1064" t="s">
        <v>718</v>
      </c>
      <c r="M116" s="1036" t="str">
        <f t="shared" ref="M116:M123" si="31">IF(AND(M$16&gt;=400,M$16&lt;=499),0,"001..399")</f>
        <v>001..399</v>
      </c>
      <c r="N116" s="1056">
        <v>0</v>
      </c>
      <c r="O116" s="1056"/>
      <c r="P116" s="1101" t="str">
        <f t="shared" ref="P116:P123" si="32">IF(AND(P$16&gt;=400,P$16&lt;=499),0,"001..399")</f>
        <v>001..399</v>
      </c>
      <c r="Q116" s="1056">
        <v>0</v>
      </c>
      <c r="R116" s="1056"/>
      <c r="S116" s="1101" t="str">
        <f t="shared" ref="S116:S123" si="33">IF(AND(S$16&gt;=400,S$16&lt;=499),0,"001..399")</f>
        <v>001..399</v>
      </c>
      <c r="T116" s="1056">
        <v>0</v>
      </c>
      <c r="U116" s="1056"/>
      <c r="V116" s="1101" t="str">
        <f t="shared" ref="V116:V123" si="34">IF(AND(V$16&gt;=400,V$16&lt;=499),0,"001..399")</f>
        <v>001..399</v>
      </c>
      <c r="W116" s="1056">
        <v>0</v>
      </c>
      <c r="X116" s="1056"/>
      <c r="Y116" s="1101" t="str">
        <f t="shared" ref="Y116:Y123" si="35">IF(AND(Y$16&gt;=400,Y$16&lt;=499),0,"001..399")</f>
        <v>001..399</v>
      </c>
      <c r="Z116" s="1056">
        <v>0</v>
      </c>
      <c r="AA116" s="1056"/>
      <c r="AB116" s="1056"/>
      <c r="AC116" s="1056">
        <f t="shared" si="29"/>
        <v>0</v>
      </c>
      <c r="AD116" s="63">
        <f t="shared" si="30"/>
        <v>0</v>
      </c>
    </row>
    <row r="117" spans="1:31" ht="15.95" hidden="1" customHeight="1">
      <c r="A117" s="63" t="s">
        <v>76</v>
      </c>
      <c r="B117" s="63" t="str">
        <f t="shared" si="28"/>
        <v>Hide</v>
      </c>
      <c r="C117" s="1058"/>
      <c r="D117" s="1068" t="s">
        <v>710</v>
      </c>
      <c r="E117" s="1068"/>
      <c r="G117" s="1063" t="str">
        <f>"247118"</f>
        <v>247118</v>
      </c>
      <c r="I117" s="1064" t="s">
        <v>719</v>
      </c>
      <c r="M117" s="1036" t="str">
        <f t="shared" si="31"/>
        <v>001..399</v>
      </c>
      <c r="N117" s="1056">
        <v>0</v>
      </c>
      <c r="O117" s="1056"/>
      <c r="P117" s="1101" t="str">
        <f t="shared" si="32"/>
        <v>001..399</v>
      </c>
      <c r="Q117" s="1056">
        <v>0</v>
      </c>
      <c r="R117" s="1056"/>
      <c r="S117" s="1101" t="str">
        <f t="shared" si="33"/>
        <v>001..399</v>
      </c>
      <c r="T117" s="1056">
        <v>0</v>
      </c>
      <c r="U117" s="1056"/>
      <c r="V117" s="1101" t="str">
        <f t="shared" si="34"/>
        <v>001..399</v>
      </c>
      <c r="W117" s="1056">
        <v>0</v>
      </c>
      <c r="X117" s="1056"/>
      <c r="Y117" s="1101" t="str">
        <f t="shared" si="35"/>
        <v>001..399</v>
      </c>
      <c r="Z117" s="1056">
        <v>0</v>
      </c>
      <c r="AA117" s="1056"/>
      <c r="AB117" s="1056"/>
      <c r="AC117" s="1056">
        <f t="shared" si="29"/>
        <v>0</v>
      </c>
      <c r="AD117" s="63">
        <f t="shared" si="30"/>
        <v>0</v>
      </c>
    </row>
    <row r="118" spans="1:31" ht="15.95" hidden="1" customHeight="1">
      <c r="A118" s="63" t="s">
        <v>76</v>
      </c>
      <c r="B118" s="63" t="str">
        <f t="shared" si="28"/>
        <v>Hide</v>
      </c>
      <c r="C118" s="1058"/>
      <c r="D118" s="1068" t="s">
        <v>710</v>
      </c>
      <c r="E118" s="1068"/>
      <c r="G118" s="1063" t="str">
        <f>"247199"</f>
        <v>247199</v>
      </c>
      <c r="I118" s="1064" t="s">
        <v>720</v>
      </c>
      <c r="M118" s="1036" t="str">
        <f t="shared" si="31"/>
        <v>001..399</v>
      </c>
      <c r="N118" s="1056">
        <v>0</v>
      </c>
      <c r="O118" s="1056"/>
      <c r="P118" s="1101" t="str">
        <f t="shared" si="32"/>
        <v>001..399</v>
      </c>
      <c r="Q118" s="1056">
        <v>0</v>
      </c>
      <c r="R118" s="1056"/>
      <c r="S118" s="1101" t="str">
        <f t="shared" si="33"/>
        <v>001..399</v>
      </c>
      <c r="T118" s="1056">
        <v>0</v>
      </c>
      <c r="U118" s="1056"/>
      <c r="V118" s="1101" t="str">
        <f t="shared" si="34"/>
        <v>001..399</v>
      </c>
      <c r="W118" s="1056">
        <v>0</v>
      </c>
      <c r="X118" s="1056"/>
      <c r="Y118" s="1101" t="str">
        <f t="shared" si="35"/>
        <v>001..399</v>
      </c>
      <c r="Z118" s="1056">
        <v>0</v>
      </c>
      <c r="AA118" s="1056"/>
      <c r="AB118" s="1056"/>
      <c r="AC118" s="1056">
        <f t="shared" si="29"/>
        <v>0</v>
      </c>
      <c r="AD118" s="63">
        <f t="shared" si="30"/>
        <v>0</v>
      </c>
    </row>
    <row r="119" spans="1:31" ht="15.95" customHeight="1">
      <c r="A119" s="63" t="s">
        <v>76</v>
      </c>
      <c r="B119" s="63" t="str">
        <f t="shared" si="28"/>
        <v>Show</v>
      </c>
      <c r="C119" s="1058"/>
      <c r="D119" s="1068" t="s">
        <v>710</v>
      </c>
      <c r="E119" s="1068"/>
      <c r="G119" s="1063" t="str">
        <f>"283010"</f>
        <v>283010</v>
      </c>
      <c r="I119" s="1064" t="s">
        <v>721</v>
      </c>
      <c r="M119" s="1036" t="str">
        <f t="shared" si="31"/>
        <v>001..399</v>
      </c>
      <c r="N119" s="1056">
        <v>250000</v>
      </c>
      <c r="O119" s="1056"/>
      <c r="P119" s="1101" t="str">
        <f t="shared" si="32"/>
        <v>001..399</v>
      </c>
      <c r="Q119" s="1056">
        <v>0</v>
      </c>
      <c r="R119" s="1056"/>
      <c r="S119" s="1101" t="str">
        <f t="shared" si="33"/>
        <v>001..399</v>
      </c>
      <c r="T119" s="1056">
        <v>0</v>
      </c>
      <c r="U119" s="1056"/>
      <c r="V119" s="1101" t="str">
        <f t="shared" si="34"/>
        <v>001..399</v>
      </c>
      <c r="W119" s="1056">
        <v>0</v>
      </c>
      <c r="X119" s="1056"/>
      <c r="Y119" s="1101" t="str">
        <f t="shared" si="35"/>
        <v>001..399</v>
      </c>
      <c r="Z119" s="1056">
        <v>0</v>
      </c>
      <c r="AA119" s="1056"/>
      <c r="AB119" s="1056"/>
      <c r="AC119" s="1056">
        <f t="shared" si="29"/>
        <v>250000</v>
      </c>
      <c r="AD119" s="63">
        <f t="shared" si="30"/>
        <v>250000</v>
      </c>
    </row>
    <row r="120" spans="1:31" ht="15.95" customHeight="1">
      <c r="A120" s="63" t="s">
        <v>76</v>
      </c>
      <c r="B120" s="63" t="str">
        <f t="shared" si="28"/>
        <v>Show</v>
      </c>
      <c r="C120" s="1058"/>
      <c r="D120" s="1068" t="s">
        <v>710</v>
      </c>
      <c r="E120" s="1068"/>
      <c r="G120" s="1063" t="str">
        <f>"283720"</f>
        <v>283720</v>
      </c>
      <c r="I120" s="1064" t="s">
        <v>718</v>
      </c>
      <c r="M120" s="1036" t="str">
        <f t="shared" si="31"/>
        <v>001..399</v>
      </c>
      <c r="N120" s="1056">
        <v>99188</v>
      </c>
      <c r="O120" s="1056"/>
      <c r="P120" s="1101" t="str">
        <f t="shared" si="32"/>
        <v>001..399</v>
      </c>
      <c r="Q120" s="1056">
        <v>0</v>
      </c>
      <c r="R120" s="1056"/>
      <c r="S120" s="1101" t="str">
        <f t="shared" si="33"/>
        <v>001..399</v>
      </c>
      <c r="T120" s="1056">
        <v>0</v>
      </c>
      <c r="U120" s="1056"/>
      <c r="V120" s="1101" t="str">
        <f t="shared" si="34"/>
        <v>001..399</v>
      </c>
      <c r="W120" s="1056">
        <v>0</v>
      </c>
      <c r="X120" s="1056"/>
      <c r="Y120" s="1101" t="str">
        <f t="shared" si="35"/>
        <v>001..399</v>
      </c>
      <c r="Z120" s="1056">
        <v>0</v>
      </c>
      <c r="AA120" s="1056"/>
      <c r="AB120" s="1056"/>
      <c r="AC120" s="1056">
        <f t="shared" si="29"/>
        <v>99188</v>
      </c>
      <c r="AD120" s="63">
        <f t="shared" si="30"/>
        <v>99188</v>
      </c>
    </row>
    <row r="121" spans="1:31" ht="15.95" customHeight="1">
      <c r="A121" s="63" t="s">
        <v>76</v>
      </c>
      <c r="B121" s="63" t="str">
        <f t="shared" si="28"/>
        <v>Show</v>
      </c>
      <c r="C121" s="1058"/>
      <c r="D121" s="1068" t="s">
        <v>710</v>
      </c>
      <c r="E121" s="1068"/>
      <c r="G121" s="1063" t="str">
        <f>"283780"</f>
        <v>283780</v>
      </c>
      <c r="I121" s="1064" t="s">
        <v>719</v>
      </c>
      <c r="M121" s="1036" t="str">
        <f t="shared" si="31"/>
        <v>001..399</v>
      </c>
      <c r="N121" s="1056">
        <v>50000</v>
      </c>
      <c r="O121" s="1056"/>
      <c r="P121" s="1101" t="str">
        <f t="shared" si="32"/>
        <v>001..399</v>
      </c>
      <c r="Q121" s="1056">
        <v>0</v>
      </c>
      <c r="R121" s="1056"/>
      <c r="S121" s="1101" t="str">
        <f t="shared" si="33"/>
        <v>001..399</v>
      </c>
      <c r="T121" s="1056">
        <v>0</v>
      </c>
      <c r="U121" s="1056"/>
      <c r="V121" s="1101" t="str">
        <f t="shared" si="34"/>
        <v>001..399</v>
      </c>
      <c r="W121" s="1056">
        <v>0</v>
      </c>
      <c r="X121" s="1056"/>
      <c r="Y121" s="1101" t="str">
        <f t="shared" si="35"/>
        <v>001..399</v>
      </c>
      <c r="Z121" s="1056">
        <v>0</v>
      </c>
      <c r="AA121" s="1056"/>
      <c r="AB121" s="1056"/>
      <c r="AC121" s="1056">
        <f t="shared" si="29"/>
        <v>50000</v>
      </c>
      <c r="AD121" s="63">
        <f t="shared" si="30"/>
        <v>50000</v>
      </c>
    </row>
    <row r="122" spans="1:31" ht="15.95" customHeight="1">
      <c r="A122" s="63" t="s">
        <v>76</v>
      </c>
      <c r="B122" s="63" t="str">
        <f t="shared" si="28"/>
        <v>Show</v>
      </c>
      <c r="C122" s="1058"/>
      <c r="D122" s="1068" t="s">
        <v>710</v>
      </c>
      <c r="E122" s="1068"/>
      <c r="G122" s="1063" t="str">
        <f>"283790"</f>
        <v>283790</v>
      </c>
      <c r="I122" s="1064" t="s">
        <v>722</v>
      </c>
      <c r="M122" s="1036" t="str">
        <f t="shared" si="31"/>
        <v>001..399</v>
      </c>
      <c r="N122" s="1056">
        <v>60000</v>
      </c>
      <c r="O122" s="1056"/>
      <c r="P122" s="1101" t="str">
        <f t="shared" si="32"/>
        <v>001..399</v>
      </c>
      <c r="Q122" s="1056">
        <v>0</v>
      </c>
      <c r="R122" s="1056"/>
      <c r="S122" s="1101" t="str">
        <f t="shared" si="33"/>
        <v>001..399</v>
      </c>
      <c r="T122" s="1056">
        <v>0</v>
      </c>
      <c r="U122" s="1056"/>
      <c r="V122" s="1101" t="str">
        <f t="shared" si="34"/>
        <v>001..399</v>
      </c>
      <c r="W122" s="1056">
        <v>0</v>
      </c>
      <c r="X122" s="1056"/>
      <c r="Y122" s="1101" t="str">
        <f t="shared" si="35"/>
        <v>001..399</v>
      </c>
      <c r="Z122" s="1056">
        <v>0</v>
      </c>
      <c r="AA122" s="1056"/>
      <c r="AB122" s="1056"/>
      <c r="AC122" s="1056">
        <f t="shared" si="29"/>
        <v>60000</v>
      </c>
      <c r="AD122" s="63">
        <f t="shared" si="30"/>
        <v>60000</v>
      </c>
    </row>
    <row r="123" spans="1:31" ht="15.95" customHeight="1">
      <c r="A123" s="63" t="s">
        <v>76</v>
      </c>
      <c r="B123" s="63" t="str">
        <f t="shared" si="28"/>
        <v>Show</v>
      </c>
      <c r="C123" s="1058"/>
      <c r="D123" s="1068" t="s">
        <v>710</v>
      </c>
      <c r="E123" s="1068"/>
      <c r="G123" s="1063" t="str">
        <f>"283825"</f>
        <v>283825</v>
      </c>
      <c r="I123" s="1064" t="s">
        <v>723</v>
      </c>
      <c r="M123" s="1036" t="str">
        <f t="shared" si="31"/>
        <v>001..399</v>
      </c>
      <c r="N123" s="1056">
        <v>105000</v>
      </c>
      <c r="O123" s="1056"/>
      <c r="P123" s="1101" t="str">
        <f t="shared" si="32"/>
        <v>001..399</v>
      </c>
      <c r="Q123" s="1056">
        <v>0</v>
      </c>
      <c r="R123" s="1056"/>
      <c r="S123" s="1101" t="str">
        <f t="shared" si="33"/>
        <v>001..399</v>
      </c>
      <c r="T123" s="1056">
        <v>0</v>
      </c>
      <c r="U123" s="1056"/>
      <c r="V123" s="1101" t="str">
        <f t="shared" si="34"/>
        <v>001..399</v>
      </c>
      <c r="W123" s="1056">
        <v>0</v>
      </c>
      <c r="X123" s="1056"/>
      <c r="Y123" s="1101" t="str">
        <f t="shared" si="35"/>
        <v>001..399</v>
      </c>
      <c r="Z123" s="1056">
        <v>0</v>
      </c>
      <c r="AA123" s="1056"/>
      <c r="AB123" s="1056"/>
      <c r="AC123" s="1056">
        <f t="shared" si="29"/>
        <v>105000</v>
      </c>
      <c r="AD123" s="63">
        <f t="shared" si="30"/>
        <v>105000</v>
      </c>
    </row>
    <row r="124" spans="1:31" ht="15.95" hidden="1" customHeight="1">
      <c r="B124" s="63" t="s">
        <v>493</v>
      </c>
      <c r="C124" s="1058"/>
      <c r="D124" s="1068"/>
      <c r="E124" s="1068"/>
      <c r="G124" s="1063"/>
      <c r="I124" s="1064"/>
      <c r="M124" s="1044"/>
      <c r="N124" s="1056"/>
      <c r="O124" s="1056"/>
      <c r="P124" s="1056"/>
      <c r="Q124" s="1056"/>
      <c r="R124" s="1056"/>
      <c r="S124" s="1056"/>
      <c r="T124" s="1056"/>
      <c r="U124" s="1056"/>
      <c r="V124" s="1056"/>
      <c r="W124" s="1056"/>
      <c r="X124" s="1056"/>
      <c r="Y124" s="1056"/>
      <c r="Z124" s="1056"/>
      <c r="AA124" s="1056"/>
      <c r="AB124" s="1056"/>
      <c r="AC124" s="1056"/>
    </row>
    <row r="125" spans="1:31" ht="15.95" customHeight="1">
      <c r="B125" s="63" t="str">
        <f>IF(AD125=0,"Hide","Show")</f>
        <v>Show</v>
      </c>
      <c r="C125" s="1058"/>
      <c r="D125" s="1068"/>
      <c r="E125" s="1068"/>
      <c r="G125" s="1063">
        <v>271000</v>
      </c>
      <c r="I125" s="1064" t="s">
        <v>724</v>
      </c>
      <c r="M125" s="1102" t="str">
        <f>IF(AND(M$16&gt;=0,M$16&lt;=199),"0..199|600..999",IF(AND(M$16&gt;=600,M$16&lt;=999),"0..199|600..999","0"))</f>
        <v>0..199|600..999</v>
      </c>
      <c r="N125" s="1056">
        <f>IF(OR($F$5="YES",M125="0"),0,SUM(N81-N107-N175))</f>
        <v>607942</v>
      </c>
      <c r="O125" s="1056"/>
      <c r="P125" s="1056" t="str">
        <f>IF(AND(P$16&gt;=0,P$16&lt;=199),"0..199|600..999",IF(AND(P$16&gt;=600,P$16&lt;=999),"0..199|600..999","0"))</f>
        <v>0</v>
      </c>
      <c r="Q125" s="1056">
        <f>IF(OR($F$5="YES",P125="0"),0,SUM(Q81-Q107-Q175))</f>
        <v>0</v>
      </c>
      <c r="R125" s="1056"/>
      <c r="S125" s="1056" t="str">
        <f>IF(AND(S$16&gt;=0,S$16&lt;=199),"0..199|600..999",IF(AND(S$16&gt;=600,S$16&lt;=999),"0..199|600..999","0"))</f>
        <v>0</v>
      </c>
      <c r="T125" s="1056">
        <f>IF(OR($F$5="YES",S125="0"),0,SUM(T81-T107-T175))</f>
        <v>0</v>
      </c>
      <c r="U125" s="1056"/>
      <c r="V125" s="1056" t="str">
        <f>IF(AND(V$16&gt;=0,V$16&lt;=199),"0..199|600..999",IF(AND(V$16&gt;=600,V$16&lt;=999),"0..199|600..999","0"))</f>
        <v>0</v>
      </c>
      <c r="W125" s="1056">
        <f>IF(OR($F$5="YES",V125="0"),0,SUM(W81-W107-W175))</f>
        <v>0</v>
      </c>
      <c r="X125" s="1056"/>
      <c r="Y125" s="1056" t="str">
        <f>IF(AND(Y$16&gt;=0,Y$16&lt;=199),"0..199|600..999",IF(AND(Y$16&gt;=600,Y$16&lt;=999),"0..199|600..999","0"))</f>
        <v>0</v>
      </c>
      <c r="Z125" s="1056">
        <f>IF(OR($F$5="YES",Y125="0"),0,SUM(Z81-Z107-Z175))</f>
        <v>0</v>
      </c>
      <c r="AA125" s="1056"/>
      <c r="AB125" s="1056"/>
      <c r="AC125" s="1056">
        <f>SUM(N125:AB125)</f>
        <v>607942</v>
      </c>
      <c r="AD125" s="63">
        <f>ABS(SUM(N125:AB125))</f>
        <v>607942</v>
      </c>
    </row>
    <row r="126" spans="1:31" ht="6.95" hidden="1" customHeight="1">
      <c r="B126" s="63" t="str">
        <f>B163</f>
        <v>Hide</v>
      </c>
      <c r="C126" s="1058"/>
      <c r="D126" s="1068"/>
      <c r="E126" s="1068"/>
      <c r="G126" s="1063"/>
      <c r="I126" s="1098"/>
      <c r="N126" s="1056"/>
      <c r="O126" s="1056"/>
      <c r="P126" s="1056"/>
      <c r="Q126" s="1056"/>
      <c r="R126" s="1056"/>
      <c r="S126" s="1056"/>
      <c r="T126" s="1056"/>
      <c r="U126" s="1056"/>
      <c r="V126" s="1056"/>
      <c r="W126" s="1056"/>
      <c r="X126" s="1056"/>
      <c r="Y126" s="1056"/>
      <c r="Z126" s="1056"/>
      <c r="AA126" s="1056"/>
      <c r="AB126" s="1056"/>
      <c r="AC126" s="1056"/>
    </row>
    <row r="127" spans="1:31" ht="15.95" hidden="1" customHeight="1">
      <c r="C127" s="1058"/>
      <c r="D127" s="1103" t="s">
        <v>725</v>
      </c>
      <c r="E127" s="1103"/>
      <c r="F127" s="34"/>
      <c r="G127" s="1104"/>
      <c r="H127" s="1105"/>
      <c r="I127" s="1106" t="s">
        <v>726</v>
      </c>
      <c r="J127" s="1105"/>
      <c r="K127" s="1105"/>
      <c r="L127" s="1105"/>
      <c r="M127" s="1105"/>
      <c r="N127" s="1107"/>
      <c r="O127" s="1107"/>
      <c r="P127" s="1107"/>
      <c r="Q127" s="1107"/>
      <c r="R127" s="1107"/>
      <c r="S127" s="1107"/>
      <c r="T127" s="1107"/>
      <c r="U127" s="1107"/>
      <c r="V127" s="1107"/>
      <c r="W127" s="1107"/>
      <c r="X127" s="1107"/>
      <c r="Y127" s="1107"/>
      <c r="Z127" s="1107"/>
      <c r="AA127" s="1107"/>
      <c r="AB127" s="1107"/>
      <c r="AC127" s="1056"/>
    </row>
    <row r="128" spans="1:31" ht="15.95" hidden="1" customHeight="1">
      <c r="C128" s="1058"/>
      <c r="D128" s="1103"/>
      <c r="E128" s="1103"/>
      <c r="F128" s="34"/>
      <c r="G128" s="1104"/>
      <c r="H128" s="1105"/>
      <c r="I128" s="1108"/>
      <c r="J128" s="1105"/>
      <c r="K128" s="1105"/>
      <c r="L128" s="1105"/>
      <c r="M128" s="1109" t="str">
        <f>IF(AND(M$16&gt;=0,M$16&lt;=99),"0..099|600..999",IF(AND(M$16&gt;=600,M$16&lt;=999),"0..099|600..999","0"))</f>
        <v>0..099|600..999</v>
      </c>
      <c r="N128" s="1107">
        <v>0</v>
      </c>
      <c r="O128" s="1107"/>
      <c r="P128" s="1107" t="str">
        <f>IF(AND(P$16&gt;=0,P$16&lt;=99),"0..099|600..999",IF(AND(P$16&gt;=600,P$16&lt;=999),"0..099|600..999","0"))</f>
        <v>0</v>
      </c>
      <c r="Q128" s="1107">
        <v>0</v>
      </c>
      <c r="R128" s="1107"/>
      <c r="S128" s="1107" t="str">
        <f>IF(AND(S$16&gt;=0,S$16&lt;=99),"0..099|600..999",IF(AND(S$16&gt;=600,S$16&lt;=999),"0..099|600..999","0"))</f>
        <v>0</v>
      </c>
      <c r="T128" s="1107">
        <v>0</v>
      </c>
      <c r="U128" s="1107"/>
      <c r="V128" s="1107" t="str">
        <f>IF(AND(V$16&gt;=0,V$16&lt;=99),"0..099|600..999",IF(AND(V$16&gt;=600,V$16&lt;=999),"0..099|600..999","0"))</f>
        <v>0</v>
      </c>
      <c r="W128" s="1107">
        <v>0</v>
      </c>
      <c r="X128" s="1107"/>
      <c r="Y128" s="1107" t="str">
        <f>IF(AND(Y$16&gt;=0,Y$16&lt;=99),"0..099|600..999",IF(AND(Y$16&gt;=600,Y$16&lt;=999),"0..099|600..999","0"))</f>
        <v>0</v>
      </c>
      <c r="Z128" s="1107">
        <v>0</v>
      </c>
      <c r="AA128" s="1107"/>
      <c r="AB128" s="1107"/>
      <c r="AC128" s="1056">
        <f>SUM(N128:AB128)</f>
        <v>0</v>
      </c>
      <c r="AD128" s="63">
        <f>ABS(SUM(N128:AB128))</f>
        <v>0</v>
      </c>
      <c r="AE128" s="1067"/>
    </row>
    <row r="129" spans="3:31" ht="15.95" hidden="1" customHeight="1">
      <c r="C129" s="1058"/>
      <c r="D129" s="1103"/>
      <c r="E129" s="1103"/>
      <c r="F129" s="34"/>
      <c r="G129" s="1104"/>
      <c r="H129" s="1105"/>
      <c r="I129" s="1110"/>
      <c r="J129" s="1105"/>
      <c r="K129" s="1105"/>
      <c r="L129" s="1105"/>
      <c r="M129" s="1109"/>
      <c r="N129" s="1107"/>
      <c r="O129" s="1107"/>
      <c r="P129" s="1107"/>
      <c r="Q129" s="1107"/>
      <c r="R129" s="1107"/>
      <c r="S129" s="1107"/>
      <c r="T129" s="1107"/>
      <c r="U129" s="1107"/>
      <c r="V129" s="1107"/>
      <c r="W129" s="1107"/>
      <c r="X129" s="1107"/>
      <c r="Y129" s="1107"/>
      <c r="Z129" s="1107"/>
      <c r="AA129" s="1107"/>
      <c r="AB129" s="1107"/>
      <c r="AC129" s="1107"/>
      <c r="AD129" s="1111"/>
      <c r="AE129" s="1067"/>
    </row>
    <row r="130" spans="3:31" ht="15.95" hidden="1" customHeight="1">
      <c r="C130" s="1058"/>
      <c r="D130" s="1103"/>
      <c r="E130" s="1103"/>
      <c r="F130" s="34"/>
      <c r="G130" s="1104"/>
      <c r="H130" s="1105"/>
      <c r="I130" s="1112" t="s">
        <v>727</v>
      </c>
      <c r="J130" s="1113"/>
      <c r="K130" s="1113"/>
      <c r="L130" s="1113"/>
      <c r="M130" s="1114"/>
      <c r="N130" s="1115">
        <f>SUM(N127:N129)</f>
        <v>0</v>
      </c>
      <c r="O130" s="1115"/>
      <c r="P130" s="1115"/>
      <c r="Q130" s="1115">
        <f>SUM(Q127:Q129)</f>
        <v>0</v>
      </c>
      <c r="R130" s="1115"/>
      <c r="S130" s="1115"/>
      <c r="T130" s="1115">
        <f>SUM(T127:T129)</f>
        <v>0</v>
      </c>
      <c r="U130" s="1115"/>
      <c r="V130" s="1115"/>
      <c r="W130" s="1115">
        <f>SUM(W127:W129)</f>
        <v>0</v>
      </c>
      <c r="X130" s="1115"/>
      <c r="Y130" s="1115"/>
      <c r="Z130" s="1115">
        <f>SUM(Z127:Z129)</f>
        <v>0</v>
      </c>
      <c r="AA130" s="1115"/>
      <c r="AB130" s="1115"/>
      <c r="AC130" s="1115">
        <f>SUM(N130:AB130)</f>
        <v>0</v>
      </c>
      <c r="AD130" s="63">
        <f>ABS(SUM(N130:AB130))</f>
        <v>0</v>
      </c>
      <c r="AE130" s="1067"/>
    </row>
    <row r="131" spans="3:31" ht="15.95" hidden="1" customHeight="1">
      <c r="C131" s="1058"/>
      <c r="D131" s="1116" t="s">
        <v>728</v>
      </c>
      <c r="E131" s="1103"/>
      <c r="F131" s="34"/>
      <c r="G131" s="1104"/>
      <c r="H131" s="1105"/>
      <c r="I131" s="1106" t="s">
        <v>729</v>
      </c>
      <c r="J131" s="1105"/>
      <c r="K131" s="1105"/>
      <c r="L131" s="1105"/>
      <c r="M131" s="1109"/>
      <c r="N131" s="1107"/>
      <c r="O131" s="1107"/>
      <c r="P131" s="1107"/>
      <c r="Q131" s="1107"/>
      <c r="R131" s="1107"/>
      <c r="S131" s="1107"/>
      <c r="T131" s="1107"/>
      <c r="U131" s="1107"/>
      <c r="V131" s="1107"/>
      <c r="W131" s="1107"/>
      <c r="X131" s="1107"/>
      <c r="Y131" s="1107"/>
      <c r="Z131" s="1107"/>
      <c r="AA131" s="1107"/>
      <c r="AB131" s="1107"/>
      <c r="AC131" s="1107"/>
      <c r="AD131" s="1111"/>
      <c r="AE131" s="1067"/>
    </row>
    <row r="132" spans="3:31" ht="15.95" hidden="1" customHeight="1">
      <c r="C132" s="1058"/>
      <c r="D132" s="1103"/>
      <c r="E132" s="1103"/>
      <c r="F132" s="34"/>
      <c r="G132" s="1104">
        <v>281010</v>
      </c>
      <c r="H132" s="1105"/>
      <c r="I132" s="1108" t="s">
        <v>166</v>
      </c>
      <c r="J132" s="1105"/>
      <c r="K132" s="1105"/>
      <c r="L132" s="1105"/>
      <c r="M132" s="1117" t="str">
        <f>IF(AND(M$16&gt;=200,M$16&lt;=299),"200..299","0")</f>
        <v>0</v>
      </c>
      <c r="N132" s="1118">
        <f>IF(OR($F$5="NO",M132="0"),0,IF(SUM(N81-N107-N175)&lt;0,0,SUM(N81-N107-N175)))</f>
        <v>0</v>
      </c>
      <c r="O132" s="1107"/>
      <c r="P132" s="1107" t="str">
        <f>IF(AND(P$16&gt;=200,P$16&lt;=299),"200..299","0")</f>
        <v>200..299</v>
      </c>
      <c r="Q132" s="1118">
        <f>IF(OR($F$5="NO",P132="0"),0,IF(SUM(Q81-Q107-Q175)&lt;0,0,SUM(Q81-Q107-Q175)))</f>
        <v>0</v>
      </c>
      <c r="R132" s="1107"/>
      <c r="S132" s="1107" t="str">
        <f>IF(AND(S$16&gt;=200,S$16&lt;=299),"200..299","0")</f>
        <v>200..299</v>
      </c>
      <c r="T132" s="1118">
        <f>IF(OR($F$5="NO",S132="0"),0,IF(SUM(T81-T107-T175)&lt;0,0,SUM(T81-T107-T175)))</f>
        <v>0</v>
      </c>
      <c r="U132" s="1107"/>
      <c r="V132" s="1107" t="str">
        <f>IF(AND(V$16&gt;=200,V$16&lt;=299),"200..299","0")</f>
        <v>200..299</v>
      </c>
      <c r="W132" s="1118">
        <f>IF(OR($F$5="NO",V132="0"),0,IF(SUM(W81-W107-W175)&lt;0,0,SUM(W81-W107-W175)))</f>
        <v>0</v>
      </c>
      <c r="X132" s="1107"/>
      <c r="Y132" s="1107" t="str">
        <f>IF(AND(Y$16&gt;=200,Y$16&lt;=299),"200..299","0")</f>
        <v>200..299</v>
      </c>
      <c r="Z132" s="1118">
        <f>IF(OR($F$5="NO",Y132="0"),0,IF(SUM(Z81-Z107-Z175)&lt;0,0,SUM(Z81-Z107-Z175)))</f>
        <v>0</v>
      </c>
      <c r="AA132" s="1107"/>
      <c r="AB132" s="1107"/>
      <c r="AC132" s="1056">
        <f t="shared" ref="AC132:AC134" si="36">SUM(N132:AB132)</f>
        <v>0</v>
      </c>
      <c r="AD132" s="63">
        <f t="shared" ref="AD132:AD134" si="37">ABS(SUM(N132:AB132))</f>
        <v>0</v>
      </c>
      <c r="AE132" s="1067"/>
    </row>
    <row r="133" spans="3:31" ht="15.95" hidden="1" customHeight="1">
      <c r="C133" s="1058"/>
      <c r="D133" s="1103"/>
      <c r="E133" s="1103"/>
      <c r="F133" s="34"/>
      <c r="G133" s="1104">
        <v>281014</v>
      </c>
      <c r="H133" s="1105"/>
      <c r="I133" s="1108" t="s">
        <v>730</v>
      </c>
      <c r="J133" s="1105"/>
      <c r="K133" s="1105"/>
      <c r="L133" s="1105"/>
      <c r="M133" s="1117" t="str">
        <f>IF(AND(M$16&gt;=300,M$16&lt;=399),"300..399","0")</f>
        <v>0</v>
      </c>
      <c r="N133" s="1118">
        <f>IF(OR($F$5="NO",M133="0"),0,IF(SUM(N81-N107-N175)&lt;0,0,SUM(N81-N107-N175)))</f>
        <v>0</v>
      </c>
      <c r="O133" s="1107"/>
      <c r="P133" s="1107" t="str">
        <f>IF(AND(P$16&gt;=300,P$16&lt;=399),"300..399","0")</f>
        <v>0</v>
      </c>
      <c r="Q133" s="1118">
        <f>IF(OR($F$5="NO",P133="0"),0,IF(SUM(Q81-Q107-Q175)&lt;0,0,SUM(Q81-Q107-Q175)))</f>
        <v>0</v>
      </c>
      <c r="R133" s="1107"/>
      <c r="S133" s="1107" t="str">
        <f>IF(AND(S$16&gt;=300,S$16&lt;=399),"300..399","0")</f>
        <v>0</v>
      </c>
      <c r="T133" s="1118">
        <f>IF(OR($F$5="NO",S133="0"),0,IF(SUM(T81-T107-T175)&lt;0,0,SUM(T81-T107-T175)))</f>
        <v>0</v>
      </c>
      <c r="U133" s="1107"/>
      <c r="V133" s="1107" t="str">
        <f>IF(AND(V$16&gt;=300,V$16&lt;=399),"300..399","0")</f>
        <v>0</v>
      </c>
      <c r="W133" s="1118">
        <f>IF(OR($F$5="NO",V133="0"),0,IF(SUM(W81-W107-W175)&lt;0,0,SUM(W81-W107-W175)))</f>
        <v>0</v>
      </c>
      <c r="X133" s="1107"/>
      <c r="Y133" s="1107" t="str">
        <f>IF(AND(Y$16&gt;=300,Y$16&lt;=399),"300..399","0")</f>
        <v>0</v>
      </c>
      <c r="Z133" s="1118">
        <f>IF(OR($F$5="NO",Y133="0"),0,IF(SUM(Z81-Z107-Z175)&lt;0,0,SUM(Z81-Z107-Z175)))</f>
        <v>0</v>
      </c>
      <c r="AA133" s="1107"/>
      <c r="AB133" s="1107"/>
      <c r="AC133" s="1056">
        <f t="shared" si="36"/>
        <v>0</v>
      </c>
      <c r="AD133" s="63">
        <f t="shared" si="37"/>
        <v>0</v>
      </c>
      <c r="AE133" s="1067"/>
    </row>
    <row r="134" spans="3:31" ht="15.95" hidden="1" customHeight="1">
      <c r="C134" s="1058"/>
      <c r="D134" s="1103"/>
      <c r="E134" s="1103"/>
      <c r="F134" s="34"/>
      <c r="G134" s="1104">
        <v>281018</v>
      </c>
      <c r="H134" s="1105"/>
      <c r="I134" s="1108" t="s">
        <v>731</v>
      </c>
      <c r="J134" s="1105"/>
      <c r="K134" s="1105"/>
      <c r="L134" s="1105"/>
      <c r="M134" s="1117" t="str">
        <f>IF(AND(M$16&gt;=100,M$16&lt;=199),"100..199","0")</f>
        <v>0</v>
      </c>
      <c r="N134" s="1118">
        <f>IF(OR($F$5="NO",M134="0"),0,IF(SUM(N81-N107-N175)&lt;0,0,SUM(N81-N107-N175)))</f>
        <v>0</v>
      </c>
      <c r="O134" s="1107"/>
      <c r="P134" s="1107" t="str">
        <f>IF(AND(P$16&gt;=100,P$16&lt;=199),"100..199","0")</f>
        <v>0</v>
      </c>
      <c r="Q134" s="1118">
        <f>IF(OR($F$5="NO",P134="0"),0,IF(SUM(Q81-Q107-Q175)&lt;0,0,SUM(Q81-Q107-Q175)))</f>
        <v>0</v>
      </c>
      <c r="R134" s="1107"/>
      <c r="S134" s="1107" t="str">
        <f>IF(AND(S$16&gt;=100,S$16&lt;=199),"100..199","0")</f>
        <v>0</v>
      </c>
      <c r="T134" s="1118">
        <f>IF(OR($F$5="NO",S134="0"),0,IF(SUM(T81-T107-T175)&lt;0,0,SUM(T81-T107-T175)))</f>
        <v>0</v>
      </c>
      <c r="U134" s="1107"/>
      <c r="V134" s="1107" t="str">
        <f>IF(AND(V$16&gt;=100,V$16&lt;=199),"100..199","0")</f>
        <v>0</v>
      </c>
      <c r="W134" s="1118">
        <f>IF(OR($F$5="NO",V134="0"),0,IF(SUM(W81-W107-W175)&lt;0,0,SUM(W81-W107-W175)))</f>
        <v>0</v>
      </c>
      <c r="X134" s="1107"/>
      <c r="Y134" s="1107" t="str">
        <f>IF(AND(Y$16&gt;=100,Y$16&lt;=199),"100..199","0")</f>
        <v>0</v>
      </c>
      <c r="Z134" s="1118">
        <f>IF(OR($F$5="NO",Y134="0"),0,IF(SUM(Z81-Z107-Z175)&lt;0,0,SUM(Z81-Z107-Z175)))</f>
        <v>0</v>
      </c>
      <c r="AA134" s="1107"/>
      <c r="AB134" s="1107"/>
      <c r="AC134" s="1056">
        <f t="shared" si="36"/>
        <v>0</v>
      </c>
      <c r="AD134" s="63">
        <f t="shared" si="37"/>
        <v>0</v>
      </c>
      <c r="AE134" s="1067"/>
    </row>
    <row r="135" spans="3:31" ht="15.95" hidden="1" customHeight="1">
      <c r="C135" s="1058"/>
      <c r="D135" s="1103"/>
      <c r="E135" s="1103"/>
      <c r="F135" s="34"/>
      <c r="G135" s="1104"/>
      <c r="H135" s="1105"/>
      <c r="I135" s="1108"/>
      <c r="J135" s="1105"/>
      <c r="K135" s="1105"/>
      <c r="L135" s="1105"/>
      <c r="M135" s="1117"/>
      <c r="N135" s="1107"/>
      <c r="O135" s="1107"/>
      <c r="P135" s="1107"/>
      <c r="Q135" s="1107"/>
      <c r="R135" s="1107"/>
      <c r="S135" s="1107"/>
      <c r="T135" s="1107"/>
      <c r="U135" s="1107"/>
      <c r="V135" s="1107"/>
      <c r="W135" s="1107"/>
      <c r="X135" s="1107"/>
      <c r="Y135" s="1107"/>
      <c r="Z135" s="1107"/>
      <c r="AA135" s="1107"/>
      <c r="AB135" s="1107"/>
      <c r="AC135" s="1107"/>
      <c r="AD135" s="1111"/>
      <c r="AE135" s="1067"/>
    </row>
    <row r="136" spans="3:31" ht="15.95" hidden="1" customHeight="1">
      <c r="C136" s="1058"/>
      <c r="D136" s="1103" t="s">
        <v>710</v>
      </c>
      <c r="E136" s="1103"/>
      <c r="F136" s="34"/>
      <c r="G136" s="1119"/>
      <c r="H136" s="1105"/>
      <c r="I136" s="1120"/>
      <c r="J136" s="1105"/>
      <c r="K136" s="1105"/>
      <c r="L136" s="1105"/>
      <c r="M136" s="1121" t="str">
        <f>IF(AND(M$16&gt;=400,M$16&lt;=499),0,"001..399")</f>
        <v>001..399</v>
      </c>
      <c r="N136" s="1118">
        <v>0</v>
      </c>
      <c r="O136" s="1107"/>
      <c r="P136" s="1122" t="str">
        <f>IF(AND(P$16&gt;=400,P$16&lt;=499),0,"001..399")</f>
        <v>001..399</v>
      </c>
      <c r="Q136" s="1118">
        <v>0</v>
      </c>
      <c r="R136" s="1107"/>
      <c r="S136" s="1122" t="str">
        <f>IF(AND(S$16&gt;=400,S$16&lt;=499),0,"001..399")</f>
        <v>001..399</v>
      </c>
      <c r="T136" s="1118">
        <v>0</v>
      </c>
      <c r="U136" s="1107"/>
      <c r="V136" s="1122" t="str">
        <f>IF(AND(V$16&gt;=400,V$16&lt;=499),0,"001..399")</f>
        <v>001..399</v>
      </c>
      <c r="W136" s="1118">
        <v>0</v>
      </c>
      <c r="X136" s="1107"/>
      <c r="Y136" s="1122" t="str">
        <f>IF(AND(Y$16&gt;=400,Y$16&lt;=499),0,"001..399")</f>
        <v>001..399</v>
      </c>
      <c r="Z136" s="1118">
        <v>0</v>
      </c>
      <c r="AA136" s="1107"/>
      <c r="AB136" s="1107"/>
      <c r="AC136" s="1056">
        <f>SUM(N136:AB136)</f>
        <v>0</v>
      </c>
      <c r="AD136" s="63">
        <f>ABS(SUM(N136:AB136))</f>
        <v>0</v>
      </c>
      <c r="AE136" s="1067"/>
    </row>
    <row r="137" spans="3:31" ht="15.95" hidden="1" customHeight="1">
      <c r="C137" s="1058"/>
      <c r="D137" s="1103"/>
      <c r="E137" s="1103"/>
      <c r="F137" s="34"/>
      <c r="G137" s="1104"/>
      <c r="H137" s="1105"/>
      <c r="I137" s="1108"/>
      <c r="J137" s="1105"/>
      <c r="K137" s="1105"/>
      <c r="L137" s="1105"/>
      <c r="M137" s="1121"/>
      <c r="N137" s="1107"/>
      <c r="O137" s="1107"/>
      <c r="P137" s="1122"/>
      <c r="Q137" s="1107"/>
      <c r="R137" s="1107"/>
      <c r="S137" s="1122"/>
      <c r="T137" s="1107"/>
      <c r="U137" s="1107"/>
      <c r="V137" s="1122"/>
      <c r="W137" s="1107"/>
      <c r="X137" s="1107"/>
      <c r="Y137" s="1122"/>
      <c r="Z137" s="1107"/>
      <c r="AA137" s="1107"/>
      <c r="AB137" s="1107"/>
      <c r="AC137" s="1107"/>
      <c r="AD137" s="1111"/>
      <c r="AE137" s="1067"/>
    </row>
    <row r="138" spans="3:31" ht="15.95" hidden="1" customHeight="1">
      <c r="C138" s="1058"/>
      <c r="D138" s="1103"/>
      <c r="E138" s="1103"/>
      <c r="F138" s="34"/>
      <c r="G138" s="1104"/>
      <c r="H138" s="1105"/>
      <c r="I138" s="1123" t="s">
        <v>732</v>
      </c>
      <c r="J138" s="1113"/>
      <c r="K138" s="1113"/>
      <c r="L138" s="1113"/>
      <c r="M138" s="1124"/>
      <c r="N138" s="1115">
        <f>SUM(N131:N137)</f>
        <v>0</v>
      </c>
      <c r="O138" s="1115"/>
      <c r="P138" s="1125"/>
      <c r="Q138" s="1115">
        <f>SUM(Q131:Q137)</f>
        <v>0</v>
      </c>
      <c r="R138" s="1115"/>
      <c r="S138" s="1125"/>
      <c r="T138" s="1115">
        <f>SUM(T131:T137)</f>
        <v>0</v>
      </c>
      <c r="U138" s="1115"/>
      <c r="V138" s="1125"/>
      <c r="W138" s="1115">
        <f>SUM(W131:W137)</f>
        <v>0</v>
      </c>
      <c r="X138" s="1115"/>
      <c r="Y138" s="1125"/>
      <c r="Z138" s="1115">
        <f>SUM(Z131:Z137)</f>
        <v>0</v>
      </c>
      <c r="AA138" s="1115"/>
      <c r="AB138" s="1115"/>
      <c r="AC138" s="1115">
        <f>SUM(N138:AB138)</f>
        <v>0</v>
      </c>
      <c r="AD138" s="63">
        <f>ABS(SUM(N138:AB138))</f>
        <v>0</v>
      </c>
      <c r="AE138" s="1067"/>
    </row>
    <row r="139" spans="3:31" ht="15.95" hidden="1" customHeight="1">
      <c r="C139" s="1058"/>
      <c r="D139" s="1103" t="s">
        <v>733</v>
      </c>
      <c r="E139" s="1103"/>
      <c r="F139" s="34"/>
      <c r="G139" s="1104"/>
      <c r="H139" s="1105"/>
      <c r="I139" s="1106" t="s">
        <v>734</v>
      </c>
      <c r="J139" s="1105"/>
      <c r="K139" s="1105"/>
      <c r="L139" s="1105"/>
      <c r="M139" s="1121"/>
      <c r="N139" s="1107"/>
      <c r="O139" s="1107"/>
      <c r="P139" s="1122"/>
      <c r="Q139" s="1107"/>
      <c r="R139" s="1107"/>
      <c r="S139" s="1122"/>
      <c r="T139" s="1107"/>
      <c r="U139" s="1107"/>
      <c r="V139" s="1122"/>
      <c r="W139" s="1107"/>
      <c r="X139" s="1107"/>
      <c r="Y139" s="1122"/>
      <c r="Z139" s="1107"/>
      <c r="AA139" s="1107"/>
      <c r="AB139" s="1107"/>
      <c r="AC139" s="1107"/>
      <c r="AD139" s="1111"/>
      <c r="AE139" s="1067"/>
    </row>
    <row r="140" spans="3:31" ht="15.95" hidden="1" customHeight="1">
      <c r="C140" s="1058"/>
      <c r="D140" s="1103"/>
      <c r="E140" s="1103"/>
      <c r="F140" s="34"/>
      <c r="G140" s="1119"/>
      <c r="H140" s="1105"/>
      <c r="I140" s="1120"/>
      <c r="J140" s="1105"/>
      <c r="K140" s="1105"/>
      <c r="L140" s="1105"/>
      <c r="M140" s="1126" t="str">
        <f>IF(AND(M$16&gt;=0,M$16&lt;=99),"0..099|600..999",IF(AND(M$16&gt;=600,M$16&lt;=999),"0..099|600..999","0"))</f>
        <v>0..099|600..999</v>
      </c>
      <c r="N140" s="1118">
        <v>0</v>
      </c>
      <c r="O140" s="1107"/>
      <c r="P140" s="1118" t="str">
        <f>IF(AND(P$16&gt;=0,P$16&lt;=99),"0..099|600..999",IF(AND(P$16&gt;=600,P$16&lt;=999),"0..099|600..999","0"))</f>
        <v>0</v>
      </c>
      <c r="Q140" s="1118">
        <v>0</v>
      </c>
      <c r="R140" s="1107"/>
      <c r="S140" s="1118" t="str">
        <f>IF(AND(S$16&gt;=0,S$16&lt;=99),"0..099|600..999",IF(AND(S$16&gt;=600,S$16&lt;=999),"0..099|600..999","0"))</f>
        <v>0</v>
      </c>
      <c r="T140" s="1118">
        <v>0</v>
      </c>
      <c r="U140" s="1107"/>
      <c r="V140" s="1118" t="str">
        <f>IF(AND(V$16&gt;=0,V$16&lt;=99),"0..099|600..999",IF(AND(V$16&gt;=600,V$16&lt;=999),"0..099|600..999","0"))</f>
        <v>0</v>
      </c>
      <c r="W140" s="1118">
        <v>0</v>
      </c>
      <c r="X140" s="1107"/>
      <c r="Y140" s="1118" t="str">
        <f>IF(AND(Y$16&gt;=0,Y$16&lt;=99),"0..099|600..999",IF(AND(Y$16&gt;=600,Y$16&lt;=999),"0..099|600..999","0"))</f>
        <v>0</v>
      </c>
      <c r="Z140" s="1118">
        <v>0</v>
      </c>
      <c r="AA140" s="1107"/>
      <c r="AB140" s="1107"/>
      <c r="AC140" s="1056">
        <f>SUM(N140:AB140)</f>
        <v>0</v>
      </c>
      <c r="AD140" s="63">
        <f>ABS(SUM(N140:AB140))</f>
        <v>0</v>
      </c>
      <c r="AE140" s="1067"/>
    </row>
    <row r="141" spans="3:31" ht="15.95" hidden="1" customHeight="1">
      <c r="C141" s="1058"/>
      <c r="D141" s="1103"/>
      <c r="E141" s="1103"/>
      <c r="F141" s="34"/>
      <c r="G141" s="1104"/>
      <c r="H141" s="1105"/>
      <c r="I141" s="1108"/>
      <c r="J141" s="1105"/>
      <c r="K141" s="1105"/>
      <c r="L141" s="1105"/>
      <c r="M141" s="1121"/>
      <c r="N141" s="1107"/>
      <c r="O141" s="1107"/>
      <c r="P141" s="1122"/>
      <c r="Q141" s="1107"/>
      <c r="R141" s="1107"/>
      <c r="S141" s="1122"/>
      <c r="T141" s="1107"/>
      <c r="U141" s="1107"/>
      <c r="V141" s="1122"/>
      <c r="W141" s="1107"/>
      <c r="X141" s="1107"/>
      <c r="Y141" s="1122"/>
      <c r="Z141" s="1107"/>
      <c r="AA141" s="1107"/>
      <c r="AB141" s="1107"/>
      <c r="AC141" s="1107"/>
      <c r="AD141" s="1111"/>
      <c r="AE141" s="1067"/>
    </row>
    <row r="142" spans="3:31" ht="15.95" hidden="1" customHeight="1">
      <c r="C142" s="1058"/>
      <c r="D142" s="1103"/>
      <c r="E142" s="1103"/>
      <c r="F142" s="34"/>
      <c r="G142" s="1104"/>
      <c r="H142" s="1105"/>
      <c r="I142" s="1123" t="s">
        <v>735</v>
      </c>
      <c r="J142" s="1113"/>
      <c r="K142" s="1113"/>
      <c r="L142" s="1113"/>
      <c r="M142" s="1124"/>
      <c r="N142" s="1115">
        <f>SUM(N139:N141)</f>
        <v>0</v>
      </c>
      <c r="O142" s="1115"/>
      <c r="P142" s="1125"/>
      <c r="Q142" s="1115">
        <f>SUM(Q139:Q141)</f>
        <v>0</v>
      </c>
      <c r="R142" s="1115"/>
      <c r="S142" s="1125"/>
      <c r="T142" s="1115">
        <f>SUM(T139:T141)</f>
        <v>0</v>
      </c>
      <c r="U142" s="1115"/>
      <c r="V142" s="1125"/>
      <c r="W142" s="1115">
        <f>SUM(W139:W141)</f>
        <v>0</v>
      </c>
      <c r="X142" s="1115"/>
      <c r="Y142" s="1125"/>
      <c r="Z142" s="1115">
        <f>SUM(Z139:Z141)</f>
        <v>0</v>
      </c>
      <c r="AA142" s="1115"/>
      <c r="AB142" s="1115"/>
      <c r="AC142" s="1115">
        <f>SUM(N142:AB142)</f>
        <v>0</v>
      </c>
      <c r="AD142" s="63">
        <f>ABS(SUM(N142:AB142))</f>
        <v>0</v>
      </c>
      <c r="AE142" s="1067"/>
    </row>
    <row r="143" spans="3:31" ht="15.95" hidden="1" customHeight="1">
      <c r="C143" s="1058"/>
      <c r="D143" s="1103" t="s">
        <v>736</v>
      </c>
      <c r="E143" s="1103"/>
      <c r="F143" s="34"/>
      <c r="G143" s="1104"/>
      <c r="H143" s="1105"/>
      <c r="I143" s="1106" t="s">
        <v>737</v>
      </c>
      <c r="J143" s="1105"/>
      <c r="K143" s="1105"/>
      <c r="L143" s="1105"/>
      <c r="M143" s="1121"/>
      <c r="N143" s="1107"/>
      <c r="O143" s="1107"/>
      <c r="P143" s="1122"/>
      <c r="Q143" s="1107"/>
      <c r="R143" s="1107"/>
      <c r="S143" s="1122"/>
      <c r="T143" s="1107"/>
      <c r="U143" s="1107"/>
      <c r="V143" s="1122"/>
      <c r="W143" s="1107"/>
      <c r="X143" s="1107"/>
      <c r="Y143" s="1122"/>
      <c r="Z143" s="1107"/>
      <c r="AA143" s="1107"/>
      <c r="AB143" s="1107"/>
      <c r="AC143" s="1107"/>
      <c r="AD143" s="1111"/>
      <c r="AE143" s="1067"/>
    </row>
    <row r="144" spans="3:31" ht="15.95" hidden="1" customHeight="1">
      <c r="C144" s="1058"/>
      <c r="D144" s="1103"/>
      <c r="E144" s="1103"/>
      <c r="F144" s="34"/>
      <c r="G144" s="1119" t="s">
        <v>738</v>
      </c>
      <c r="H144" s="1105"/>
      <c r="I144" s="1120" t="s">
        <v>721</v>
      </c>
      <c r="J144" s="1105"/>
      <c r="K144" s="1105"/>
      <c r="L144" s="1105"/>
      <c r="M144" s="1126" t="str">
        <f t="shared" ref="M144:M148" si="38">IF(AND(M$16&gt;=0,M$16&lt;=99),"0..099|600..999",IF(AND(M$16&gt;=600,M$16&lt;=999),"0..099|600..999","0"))</f>
        <v>0..099|600..999</v>
      </c>
      <c r="N144" s="1118">
        <v>0</v>
      </c>
      <c r="O144" s="1107"/>
      <c r="P144" s="1118" t="str">
        <f t="shared" ref="P144:P148" si="39">IF(AND(P$16&gt;=0,P$16&lt;=99),"0..099|600..999",IF(AND(P$16&gt;=600,P$16&lt;=999),"0..099|600..999","0"))</f>
        <v>0</v>
      </c>
      <c r="Q144" s="1118">
        <v>0</v>
      </c>
      <c r="R144" s="1107"/>
      <c r="S144" s="1118" t="str">
        <f t="shared" ref="S144:S148" si="40">IF(AND(S$16&gt;=0,S$16&lt;=99),"0..099|600..999",IF(AND(S$16&gt;=600,S$16&lt;=999),"0..099|600..999","0"))</f>
        <v>0</v>
      </c>
      <c r="T144" s="1118">
        <v>0</v>
      </c>
      <c r="U144" s="1107"/>
      <c r="V144" s="1118" t="str">
        <f t="shared" ref="V144:V148" si="41">IF(AND(V$16&gt;=0,V$16&lt;=99),"0..099|600..999",IF(AND(V$16&gt;=600,V$16&lt;=999),"0..099|600..999","0"))</f>
        <v>0</v>
      </c>
      <c r="W144" s="1118">
        <v>0</v>
      </c>
      <c r="X144" s="1107"/>
      <c r="Y144" s="1118" t="str">
        <f t="shared" ref="Y144:Y148" si="42">IF(AND(Y$16&gt;=0,Y$16&lt;=99),"0..099|600..999",IF(AND(Y$16&gt;=600,Y$16&lt;=999),"0..099|600..999","0"))</f>
        <v>0</v>
      </c>
      <c r="Z144" s="1118">
        <v>0</v>
      </c>
      <c r="AA144" s="1107"/>
      <c r="AB144" s="1107"/>
      <c r="AC144" s="1056">
        <f t="shared" ref="AC144:AC148" si="43">SUM(N144:AB144)</f>
        <v>0</v>
      </c>
      <c r="AD144" s="63">
        <f t="shared" ref="AD144:AD148" si="44">ABS(SUM(N144:AB144))</f>
        <v>0</v>
      </c>
      <c r="AE144" s="1067"/>
    </row>
    <row r="145" spans="1:31" ht="15.95" hidden="1" customHeight="1">
      <c r="A145" s="63" t="s">
        <v>76</v>
      </c>
      <c r="C145" s="1058"/>
      <c r="D145" s="1103"/>
      <c r="E145" s="1103"/>
      <c r="F145" s="34"/>
      <c r="G145" s="1119" t="str">
        <f>"283720"</f>
        <v>283720</v>
      </c>
      <c r="H145" s="1105"/>
      <c r="I145" s="1120" t="s">
        <v>718</v>
      </c>
      <c r="J145" s="1105"/>
      <c r="K145" s="1105"/>
      <c r="L145" s="1105"/>
      <c r="M145" s="1126" t="str">
        <f t="shared" si="38"/>
        <v>0..099|600..999</v>
      </c>
      <c r="N145" s="1118">
        <v>0</v>
      </c>
      <c r="O145" s="1107"/>
      <c r="P145" s="1118" t="str">
        <f t="shared" si="39"/>
        <v>0</v>
      </c>
      <c r="Q145" s="1118">
        <v>0</v>
      </c>
      <c r="R145" s="1107"/>
      <c r="S145" s="1118" t="str">
        <f t="shared" si="40"/>
        <v>0</v>
      </c>
      <c r="T145" s="1118">
        <v>0</v>
      </c>
      <c r="U145" s="1107"/>
      <c r="V145" s="1118" t="str">
        <f t="shared" si="41"/>
        <v>0</v>
      </c>
      <c r="W145" s="1118">
        <v>0</v>
      </c>
      <c r="X145" s="1107"/>
      <c r="Y145" s="1118" t="str">
        <f t="shared" si="42"/>
        <v>0</v>
      </c>
      <c r="Z145" s="1118">
        <v>0</v>
      </c>
      <c r="AA145" s="1107"/>
      <c r="AB145" s="1107"/>
      <c r="AC145" s="1056">
        <f t="shared" si="43"/>
        <v>0</v>
      </c>
      <c r="AD145" s="63">
        <f t="shared" si="44"/>
        <v>0</v>
      </c>
      <c r="AE145" s="1067"/>
    </row>
    <row r="146" spans="1:31" ht="15.95" hidden="1" customHeight="1">
      <c r="A146" s="63" t="s">
        <v>76</v>
      </c>
      <c r="C146" s="1058"/>
      <c r="D146" s="1103"/>
      <c r="E146" s="1103"/>
      <c r="F146" s="34"/>
      <c r="G146" s="1119" t="str">
        <f>"283780"</f>
        <v>283780</v>
      </c>
      <c r="H146" s="1105"/>
      <c r="I146" s="1120" t="s">
        <v>719</v>
      </c>
      <c r="J146" s="1105"/>
      <c r="K146" s="1105"/>
      <c r="L146" s="1105"/>
      <c r="M146" s="1126" t="str">
        <f t="shared" si="38"/>
        <v>0..099|600..999</v>
      </c>
      <c r="N146" s="1118">
        <v>0</v>
      </c>
      <c r="O146" s="1107"/>
      <c r="P146" s="1118" t="str">
        <f t="shared" si="39"/>
        <v>0</v>
      </c>
      <c r="Q146" s="1118">
        <v>0</v>
      </c>
      <c r="R146" s="1107"/>
      <c r="S146" s="1118" t="str">
        <f t="shared" si="40"/>
        <v>0</v>
      </c>
      <c r="T146" s="1118">
        <v>0</v>
      </c>
      <c r="U146" s="1107"/>
      <c r="V146" s="1118" t="str">
        <f t="shared" si="41"/>
        <v>0</v>
      </c>
      <c r="W146" s="1118">
        <v>0</v>
      </c>
      <c r="X146" s="1107"/>
      <c r="Y146" s="1118" t="str">
        <f t="shared" si="42"/>
        <v>0</v>
      </c>
      <c r="Z146" s="1118">
        <v>0</v>
      </c>
      <c r="AA146" s="1107"/>
      <c r="AB146" s="1107"/>
      <c r="AC146" s="1056">
        <f t="shared" si="43"/>
        <v>0</v>
      </c>
      <c r="AD146" s="63">
        <f t="shared" si="44"/>
        <v>0</v>
      </c>
      <c r="AE146" s="1067"/>
    </row>
    <row r="147" spans="1:31" ht="15.95" hidden="1" customHeight="1">
      <c r="A147" s="63" t="s">
        <v>76</v>
      </c>
      <c r="C147" s="1058"/>
      <c r="D147" s="1103"/>
      <c r="E147" s="1103"/>
      <c r="F147" s="34"/>
      <c r="G147" s="1119" t="str">
        <f>"283790"</f>
        <v>283790</v>
      </c>
      <c r="H147" s="1105"/>
      <c r="I147" s="1120" t="s">
        <v>722</v>
      </c>
      <c r="J147" s="1105"/>
      <c r="K147" s="1105"/>
      <c r="L147" s="1105"/>
      <c r="M147" s="1126" t="str">
        <f t="shared" si="38"/>
        <v>0..099|600..999</v>
      </c>
      <c r="N147" s="1118">
        <v>0</v>
      </c>
      <c r="O147" s="1107"/>
      <c r="P147" s="1118" t="str">
        <f t="shared" si="39"/>
        <v>0</v>
      </c>
      <c r="Q147" s="1118">
        <v>0</v>
      </c>
      <c r="R147" s="1107"/>
      <c r="S147" s="1118" t="str">
        <f t="shared" si="40"/>
        <v>0</v>
      </c>
      <c r="T147" s="1118">
        <v>0</v>
      </c>
      <c r="U147" s="1107"/>
      <c r="V147" s="1118" t="str">
        <f t="shared" si="41"/>
        <v>0</v>
      </c>
      <c r="W147" s="1118">
        <v>0</v>
      </c>
      <c r="X147" s="1107"/>
      <c r="Y147" s="1118" t="str">
        <f t="shared" si="42"/>
        <v>0</v>
      </c>
      <c r="Z147" s="1118">
        <v>0</v>
      </c>
      <c r="AA147" s="1107"/>
      <c r="AB147" s="1107"/>
      <c r="AC147" s="1056">
        <f t="shared" si="43"/>
        <v>0</v>
      </c>
      <c r="AD147" s="63">
        <f t="shared" si="44"/>
        <v>0</v>
      </c>
      <c r="AE147" s="1067"/>
    </row>
    <row r="148" spans="1:31" ht="15.95" hidden="1" customHeight="1">
      <c r="A148" s="63" t="s">
        <v>76</v>
      </c>
      <c r="C148" s="1058"/>
      <c r="D148" s="1103"/>
      <c r="E148" s="1103"/>
      <c r="F148" s="34"/>
      <c r="G148" s="1119" t="str">
        <f>"283825"</f>
        <v>283825</v>
      </c>
      <c r="H148" s="1105"/>
      <c r="I148" s="1120" t="s">
        <v>723</v>
      </c>
      <c r="J148" s="1105"/>
      <c r="K148" s="1105"/>
      <c r="L148" s="1105"/>
      <c r="M148" s="1126" t="str">
        <f t="shared" si="38"/>
        <v>0..099|600..999</v>
      </c>
      <c r="N148" s="1118">
        <v>0</v>
      </c>
      <c r="O148" s="1107"/>
      <c r="P148" s="1118" t="str">
        <f t="shared" si="39"/>
        <v>0</v>
      </c>
      <c r="Q148" s="1118">
        <v>0</v>
      </c>
      <c r="R148" s="1107"/>
      <c r="S148" s="1118" t="str">
        <f t="shared" si="40"/>
        <v>0</v>
      </c>
      <c r="T148" s="1118">
        <v>0</v>
      </c>
      <c r="U148" s="1107"/>
      <c r="V148" s="1118" t="str">
        <f t="shared" si="41"/>
        <v>0</v>
      </c>
      <c r="W148" s="1118">
        <v>0</v>
      </c>
      <c r="X148" s="1107"/>
      <c r="Y148" s="1118" t="str">
        <f t="shared" si="42"/>
        <v>0</v>
      </c>
      <c r="Z148" s="1118">
        <v>0</v>
      </c>
      <c r="AA148" s="1107"/>
      <c r="AB148" s="1107"/>
      <c r="AC148" s="1056">
        <f t="shared" si="43"/>
        <v>0</v>
      </c>
      <c r="AD148" s="63">
        <f t="shared" si="44"/>
        <v>0</v>
      </c>
      <c r="AE148" s="1067"/>
    </row>
    <row r="149" spans="1:31" ht="15.95" hidden="1" customHeight="1">
      <c r="C149" s="1058"/>
      <c r="D149" s="1103"/>
      <c r="E149" s="1103"/>
      <c r="F149" s="34"/>
      <c r="G149" s="1104"/>
      <c r="H149" s="1105"/>
      <c r="I149" s="1108"/>
      <c r="J149" s="1105"/>
      <c r="K149" s="1105"/>
      <c r="L149" s="1105"/>
      <c r="M149" s="1121"/>
      <c r="N149" s="1107"/>
      <c r="O149" s="1107"/>
      <c r="P149" s="1122"/>
      <c r="Q149" s="1107"/>
      <c r="R149" s="1107"/>
      <c r="S149" s="1122"/>
      <c r="T149" s="1107"/>
      <c r="U149" s="1107"/>
      <c r="V149" s="1122"/>
      <c r="W149" s="1107"/>
      <c r="X149" s="1107"/>
      <c r="Y149" s="1122"/>
      <c r="Z149" s="1107"/>
      <c r="AA149" s="1107"/>
      <c r="AB149" s="1107"/>
      <c r="AC149" s="1107"/>
      <c r="AD149" s="1111"/>
      <c r="AE149" s="1067"/>
    </row>
    <row r="150" spans="1:31" ht="15.95" hidden="1" customHeight="1">
      <c r="C150" s="1058"/>
      <c r="D150" s="1103"/>
      <c r="E150" s="1103"/>
      <c r="F150" s="34"/>
      <c r="G150" s="1104"/>
      <c r="H150" s="1105"/>
      <c r="I150" s="1123" t="s">
        <v>739</v>
      </c>
      <c r="J150" s="1113"/>
      <c r="K150" s="1113"/>
      <c r="L150" s="1113"/>
      <c r="M150" s="1124"/>
      <c r="N150" s="1115">
        <f>SUM(N143:N149)</f>
        <v>0</v>
      </c>
      <c r="O150" s="1115"/>
      <c r="P150" s="1125"/>
      <c r="Q150" s="1115">
        <f>SUM(Q143:Q149)</f>
        <v>0</v>
      </c>
      <c r="R150" s="1115"/>
      <c r="S150" s="1125"/>
      <c r="T150" s="1115">
        <f>SUM(T143:T149)</f>
        <v>0</v>
      </c>
      <c r="U150" s="1115"/>
      <c r="V150" s="1125"/>
      <c r="W150" s="1115">
        <f>SUM(W143:W149)</f>
        <v>0</v>
      </c>
      <c r="X150" s="1115"/>
      <c r="Y150" s="1125"/>
      <c r="Z150" s="1115">
        <f>SUM(Z143:Z149)</f>
        <v>0</v>
      </c>
      <c r="AA150" s="1115"/>
      <c r="AB150" s="1115"/>
      <c r="AC150" s="1115">
        <f>SUM(N150:AB150)</f>
        <v>0</v>
      </c>
      <c r="AD150" s="63">
        <f>ABS(SUM(N150:AB150))</f>
        <v>0</v>
      </c>
      <c r="AE150" s="1067"/>
    </row>
    <row r="151" spans="1:31" ht="15.95" hidden="1" customHeight="1">
      <c r="C151" s="1058"/>
      <c r="D151" s="1103" t="s">
        <v>740</v>
      </c>
      <c r="E151" s="1103"/>
      <c r="F151" s="34"/>
      <c r="G151" s="1104"/>
      <c r="H151" s="1105"/>
      <c r="I151" s="1106" t="s">
        <v>741</v>
      </c>
      <c r="J151" s="1105"/>
      <c r="K151" s="1105"/>
      <c r="L151" s="1105"/>
      <c r="M151" s="1121"/>
      <c r="N151" s="1107"/>
      <c r="O151" s="1107"/>
      <c r="P151" s="1122"/>
      <c r="Q151" s="1107"/>
      <c r="R151" s="1107"/>
      <c r="S151" s="1122"/>
      <c r="T151" s="1107"/>
      <c r="U151" s="1107"/>
      <c r="V151" s="1122"/>
      <c r="W151" s="1107"/>
      <c r="X151" s="1107"/>
      <c r="Y151" s="1122"/>
      <c r="Z151" s="1107"/>
      <c r="AA151" s="1107"/>
      <c r="AB151" s="1107"/>
      <c r="AC151" s="1107"/>
      <c r="AD151" s="1111"/>
      <c r="AE151" s="1067"/>
    </row>
    <row r="152" spans="1:31" ht="15.95" hidden="1" customHeight="1">
      <c r="C152" s="1058"/>
      <c r="D152" s="1103"/>
      <c r="E152" s="1103"/>
      <c r="F152" s="34"/>
      <c r="G152" s="1119"/>
      <c r="H152" s="1105"/>
      <c r="I152" s="1120"/>
      <c r="J152" s="1105"/>
      <c r="K152" s="1105"/>
      <c r="L152" s="1105"/>
      <c r="M152" s="1126" t="str">
        <f>IF(AND(M$16&gt;=0,M$16&lt;=99),"0..099|600..999",IF(AND(M$16&gt;=600,M$16&lt;=999),"0..099|600..999","0"))</f>
        <v>0..099|600..999</v>
      </c>
      <c r="N152" s="1118">
        <v>0</v>
      </c>
      <c r="O152" s="1107"/>
      <c r="P152" s="1118" t="str">
        <f>IF(AND(P$16&gt;=0,P$16&lt;=99),"0..099|600..999",IF(AND(P$16&gt;=600,P$16&lt;=999),"0..099|600..999","0"))</f>
        <v>0</v>
      </c>
      <c r="Q152" s="1118">
        <v>0</v>
      </c>
      <c r="R152" s="1107"/>
      <c r="S152" s="1118" t="str">
        <f>IF(AND(S$16&gt;=0,S$16&lt;=99),"0..099|600..999",IF(AND(S$16&gt;=600,S$16&lt;=999),"0..099|600..999","0"))</f>
        <v>0</v>
      </c>
      <c r="T152" s="1118">
        <v>0</v>
      </c>
      <c r="U152" s="1107"/>
      <c r="V152" s="1118" t="str">
        <f>IF(AND(V$16&gt;=0,V$16&lt;=99),"0..099|600..999",IF(AND(V$16&gt;=600,V$16&lt;=999),"0..099|600..999","0"))</f>
        <v>0</v>
      </c>
      <c r="W152" s="1118">
        <v>0</v>
      </c>
      <c r="X152" s="1107"/>
      <c r="Y152" s="1118" t="str">
        <f>IF(AND(Y$16&gt;=0,Y$16&lt;=99),"0..099|600..999",IF(AND(Y$16&gt;=600,Y$16&lt;=999),"0..099|600..999","0"))</f>
        <v>0</v>
      </c>
      <c r="Z152" s="1118">
        <v>0</v>
      </c>
      <c r="AA152" s="1107"/>
      <c r="AB152" s="1107"/>
      <c r="AC152" s="1056">
        <f>SUM(N152:AB152)</f>
        <v>0</v>
      </c>
      <c r="AD152" s="63">
        <f>ABS(SUM(N152:AB152))</f>
        <v>0</v>
      </c>
      <c r="AE152" s="1067"/>
    </row>
    <row r="153" spans="1:31" ht="15.95" hidden="1" customHeight="1">
      <c r="C153" s="1058"/>
      <c r="D153" s="1103"/>
      <c r="E153" s="1103"/>
      <c r="F153" s="34"/>
      <c r="G153" s="1104"/>
      <c r="H153" s="1105"/>
      <c r="I153" s="1108"/>
      <c r="J153" s="1105"/>
      <c r="K153" s="1105"/>
      <c r="L153" s="1105"/>
      <c r="M153" s="1121"/>
      <c r="N153" s="1107"/>
      <c r="O153" s="1107"/>
      <c r="P153" s="1122"/>
      <c r="Q153" s="1107"/>
      <c r="R153" s="1107"/>
      <c r="S153" s="1122"/>
      <c r="T153" s="1107"/>
      <c r="U153" s="1107"/>
      <c r="V153" s="1122"/>
      <c r="W153" s="1107"/>
      <c r="X153" s="1107"/>
      <c r="Y153" s="1122"/>
      <c r="Z153" s="1107"/>
      <c r="AA153" s="1107"/>
      <c r="AB153" s="1107"/>
      <c r="AC153" s="1107"/>
      <c r="AD153" s="1111"/>
      <c r="AE153" s="1067"/>
    </row>
    <row r="154" spans="1:31" ht="15.95" hidden="1" customHeight="1">
      <c r="C154" s="1058"/>
      <c r="D154" s="1103"/>
      <c r="E154" s="1103"/>
      <c r="F154" s="34"/>
      <c r="G154" s="1104"/>
      <c r="H154" s="1105"/>
      <c r="I154" s="1127" t="s">
        <v>742</v>
      </c>
      <c r="J154" s="1113"/>
      <c r="K154" s="1113"/>
      <c r="L154" s="1113"/>
      <c r="M154" s="1124"/>
      <c r="N154" s="1115">
        <f>SUM(N151:N153)</f>
        <v>0</v>
      </c>
      <c r="O154" s="1115"/>
      <c r="P154" s="1125"/>
      <c r="Q154" s="1115">
        <f>SUM(Q151:Q153)</f>
        <v>0</v>
      </c>
      <c r="R154" s="1115"/>
      <c r="S154" s="1125"/>
      <c r="T154" s="1115">
        <f>SUM(T151:T153)</f>
        <v>0</v>
      </c>
      <c r="U154" s="1115"/>
      <c r="V154" s="1125"/>
      <c r="W154" s="1115">
        <f>SUM(W151:W153)</f>
        <v>0</v>
      </c>
      <c r="X154" s="1115"/>
      <c r="Y154" s="1125"/>
      <c r="Z154" s="1115">
        <f>SUM(Z151:Z153)</f>
        <v>0</v>
      </c>
      <c r="AA154" s="1115"/>
      <c r="AB154" s="1115"/>
      <c r="AC154" s="1115">
        <f t="shared" ref="AC154:AC155" si="45">SUM(N154:AB154)</f>
        <v>0</v>
      </c>
      <c r="AD154" s="63">
        <f t="shared" ref="AD154:AD155" si="46">ABS(SUM(N154:AB154))</f>
        <v>0</v>
      </c>
      <c r="AE154" s="1067"/>
    </row>
    <row r="155" spans="1:31" ht="15.95" hidden="1" customHeight="1">
      <c r="C155" s="1058"/>
      <c r="D155" s="1103"/>
      <c r="E155" s="1103"/>
      <c r="F155" s="34"/>
      <c r="G155" s="1104">
        <v>284100</v>
      </c>
      <c r="H155" s="1105"/>
      <c r="I155" s="1106" t="s">
        <v>743</v>
      </c>
      <c r="J155" s="1105"/>
      <c r="K155" s="1105"/>
      <c r="L155" s="1105"/>
      <c r="M155" s="1109" t="str">
        <f>IF(AND(M$16&gt;=0,M$16&lt;=399),"0..399|600..999",IF(AND(M$16&gt;=600,M$16&lt;=999),"0..399|600..999","0"))</f>
        <v>0..399|600..999</v>
      </c>
      <c r="N155" s="1107">
        <f>IF(OR($F$5="NO",M155="0"),0,SUM(N81-N107-N175-N132-N133-N134))</f>
        <v>0</v>
      </c>
      <c r="O155" s="1107"/>
      <c r="P155" s="1107" t="str">
        <f>IF(AND(P$16&gt;=0,P$16&lt;=399),"0..399|600..999",IF(AND(P$16&gt;=600,P$16&lt;=999),"0..399|600..999","0"))</f>
        <v>0..399|600..999</v>
      </c>
      <c r="Q155" s="1107">
        <f>IF(OR($F$5="NO",P155="0"),0,SUM(Q81-Q107-Q175-Q132-Q133-Q134))</f>
        <v>0</v>
      </c>
      <c r="R155" s="1107"/>
      <c r="S155" s="1107" t="str">
        <f>IF(AND(S$16&gt;=0,S$16&lt;=399),"0..399|600..999",IF(AND(S$16&gt;=600,S$16&lt;=999),"0..399|600..999","0"))</f>
        <v>0..399|600..999</v>
      </c>
      <c r="T155" s="1107">
        <f>IF(OR($F$5="NO",S155="0"),0,SUM(T81-T107-T175-T132-T133-T134))</f>
        <v>0</v>
      </c>
      <c r="U155" s="1107"/>
      <c r="V155" s="1107" t="str">
        <f>IF(AND(V$16&gt;=0,V$16&lt;=399),"0..399|600..999",IF(AND(V$16&gt;=600,V$16&lt;=999),"0..399|600..999","0"))</f>
        <v>0..399|600..999</v>
      </c>
      <c r="W155" s="1107">
        <f>IF(OR($F$5="NO",V155="0"),0,SUM(W81-W107-W175-W132-W133-W134))</f>
        <v>0</v>
      </c>
      <c r="X155" s="1107"/>
      <c r="Y155" s="1107" t="str">
        <f>IF(AND(Y$16&gt;=0,Y$16&lt;=399),"0..399|600..999",IF(AND(Y$16&gt;=600,Y$16&lt;=999),"0..399|600..999","0"))</f>
        <v>0..399|600..999</v>
      </c>
      <c r="Z155" s="1107">
        <f>IF(OR($F$5="NO",Y155="0"),0,SUM(Z81-Z107-Z175-Z132-Z133-Z134))</f>
        <v>0</v>
      </c>
      <c r="AA155" s="1107"/>
      <c r="AB155" s="1107"/>
      <c r="AC155" s="1056">
        <f t="shared" si="45"/>
        <v>0</v>
      </c>
      <c r="AD155" s="63">
        <f t="shared" si="46"/>
        <v>0</v>
      </c>
      <c r="AE155" s="1067"/>
    </row>
    <row r="156" spans="1:31" ht="6.95" hidden="1" customHeight="1">
      <c r="C156" s="1058"/>
      <c r="D156" s="1068"/>
      <c r="E156" s="1068"/>
      <c r="G156" s="1063"/>
      <c r="I156" s="1098"/>
      <c r="N156" s="1056"/>
      <c r="O156" s="1056"/>
      <c r="P156" s="1056"/>
      <c r="Q156" s="1056"/>
      <c r="R156" s="1056"/>
      <c r="S156" s="1056"/>
      <c r="T156" s="1056"/>
      <c r="U156" s="1056"/>
      <c r="V156" s="1056"/>
      <c r="W156" s="1056"/>
      <c r="X156" s="1056"/>
      <c r="Y156" s="1056"/>
      <c r="Z156" s="1056"/>
      <c r="AA156" s="1056"/>
      <c r="AB156" s="1056"/>
      <c r="AC156" s="1056"/>
    </row>
    <row r="157" spans="1:31" ht="15.95" hidden="1" customHeight="1">
      <c r="B157" s="63" t="s">
        <v>31</v>
      </c>
      <c r="C157" s="1058" t="s">
        <v>744</v>
      </c>
      <c r="D157" s="1128">
        <v>151000</v>
      </c>
      <c r="E157" s="63" t="s">
        <v>745</v>
      </c>
      <c r="G157" s="1063"/>
      <c r="I157" s="1098"/>
      <c r="M157" s="1129">
        <v>0</v>
      </c>
      <c r="N157" s="1056"/>
      <c r="O157" s="1056"/>
      <c r="P157" s="1130">
        <v>0</v>
      </c>
      <c r="Q157" s="1056"/>
      <c r="R157" s="1056"/>
      <c r="S157" s="1130">
        <v>0</v>
      </c>
      <c r="T157" s="1056"/>
      <c r="U157" s="1056"/>
      <c r="V157" s="1130">
        <v>-1695234</v>
      </c>
      <c r="W157" s="1056"/>
      <c r="X157" s="1056"/>
      <c r="Y157" s="1130">
        <v>-485290</v>
      </c>
      <c r="Z157" s="1056"/>
      <c r="AA157" s="1056"/>
      <c r="AB157" s="1056"/>
      <c r="AC157" s="1056"/>
      <c r="AD157" s="63">
        <f t="shared" ref="AD157:AD162" si="47">ABS(SUM(N157:AB157))</f>
        <v>2180524</v>
      </c>
    </row>
    <row r="158" spans="1:31" ht="15.95" hidden="1" customHeight="1">
      <c r="B158" s="63" t="s">
        <v>31</v>
      </c>
      <c r="C158" s="1058"/>
      <c r="D158" s="1128" t="s">
        <v>746</v>
      </c>
      <c r="G158" s="1063"/>
      <c r="I158" s="1098"/>
      <c r="M158" s="1129">
        <v>0</v>
      </c>
      <c r="N158" s="1056"/>
      <c r="O158" s="1056"/>
      <c r="P158" s="1130">
        <v>0</v>
      </c>
      <c r="Q158" s="1056"/>
      <c r="R158" s="1056"/>
      <c r="S158" s="1130">
        <v>0</v>
      </c>
      <c r="T158" s="1056"/>
      <c r="U158" s="1056"/>
      <c r="V158" s="1130">
        <v>0</v>
      </c>
      <c r="W158" s="1056"/>
      <c r="X158" s="1056"/>
      <c r="Y158" s="1130">
        <v>0</v>
      </c>
      <c r="Z158" s="1056"/>
      <c r="AA158" s="1056"/>
      <c r="AB158" s="1056"/>
      <c r="AC158" s="1056"/>
      <c r="AD158" s="63">
        <f t="shared" si="47"/>
        <v>0</v>
      </c>
    </row>
    <row r="159" spans="1:31" ht="15.95" hidden="1" customHeight="1">
      <c r="B159" s="63" t="s">
        <v>31</v>
      </c>
      <c r="C159" s="1058" t="s">
        <v>747</v>
      </c>
      <c r="D159" s="1128">
        <v>275100</v>
      </c>
      <c r="G159" s="1063"/>
      <c r="I159" s="1098"/>
      <c r="M159" s="1129">
        <v>0</v>
      </c>
      <c r="N159" s="1056"/>
      <c r="O159" s="1056"/>
      <c r="P159" s="1130">
        <v>0</v>
      </c>
      <c r="Q159" s="1056"/>
      <c r="R159" s="1056"/>
      <c r="S159" s="1130">
        <v>0</v>
      </c>
      <c r="T159" s="1056"/>
      <c r="U159" s="1056"/>
      <c r="V159" s="1130">
        <v>0</v>
      </c>
      <c r="W159" s="1056"/>
      <c r="X159" s="1056"/>
      <c r="Y159" s="1130">
        <v>0</v>
      </c>
      <c r="Z159" s="1056"/>
      <c r="AA159" s="1056"/>
      <c r="AB159" s="1056"/>
      <c r="AC159" s="1056"/>
      <c r="AD159" s="63">
        <f t="shared" si="47"/>
        <v>0</v>
      </c>
    </row>
    <row r="160" spans="1:31" ht="15.95" hidden="1" customHeight="1">
      <c r="B160" s="63" t="s">
        <v>31</v>
      </c>
      <c r="C160" s="1058" t="s">
        <v>748</v>
      </c>
      <c r="D160" s="1128">
        <v>215000</v>
      </c>
      <c r="E160" s="1068"/>
      <c r="G160" s="1063"/>
      <c r="I160" s="1098"/>
      <c r="M160" s="1129">
        <v>0</v>
      </c>
      <c r="N160" s="1056"/>
      <c r="O160" s="1056"/>
      <c r="P160" s="1130">
        <v>0</v>
      </c>
      <c r="Q160" s="1056"/>
      <c r="R160" s="1056"/>
      <c r="S160" s="1130">
        <v>0</v>
      </c>
      <c r="T160" s="1056"/>
      <c r="U160" s="1056"/>
      <c r="V160" s="1130">
        <v>0</v>
      </c>
      <c r="W160" s="1056"/>
      <c r="X160" s="1056"/>
      <c r="Y160" s="1130">
        <v>0</v>
      </c>
      <c r="Z160" s="1056"/>
      <c r="AA160" s="1056"/>
      <c r="AB160" s="1056"/>
      <c r="AC160" s="1056"/>
      <c r="AD160" s="63">
        <f t="shared" si="47"/>
        <v>0</v>
      </c>
    </row>
    <row r="161" spans="1:33" ht="15.95" hidden="1" customHeight="1">
      <c r="B161" s="63" t="s">
        <v>31</v>
      </c>
      <c r="C161" s="1058" t="s">
        <v>749</v>
      </c>
      <c r="D161" s="1128" t="s">
        <v>750</v>
      </c>
      <c r="E161" s="1068"/>
      <c r="G161" s="1063"/>
      <c r="I161" s="1098"/>
      <c r="M161" s="1129">
        <v>0</v>
      </c>
      <c r="N161" s="1056"/>
      <c r="O161" s="1056"/>
      <c r="P161" s="1130">
        <v>0</v>
      </c>
      <c r="Q161" s="1056"/>
      <c r="R161" s="1056"/>
      <c r="S161" s="1130">
        <v>0</v>
      </c>
      <c r="T161" s="1056"/>
      <c r="U161" s="1056"/>
      <c r="V161" s="1130">
        <v>0</v>
      </c>
      <c r="W161" s="1056"/>
      <c r="X161" s="1056"/>
      <c r="Y161" s="1130">
        <v>0</v>
      </c>
      <c r="Z161" s="1056"/>
      <c r="AA161" s="1056"/>
      <c r="AB161" s="1056"/>
      <c r="AC161" s="1056"/>
      <c r="AD161" s="63">
        <f t="shared" si="47"/>
        <v>0</v>
      </c>
    </row>
    <row r="162" spans="1:33" ht="15.95" hidden="1" customHeight="1">
      <c r="B162" s="63" t="s">
        <v>31</v>
      </c>
      <c r="C162" s="1058" t="s">
        <v>751</v>
      </c>
      <c r="D162" s="1128" t="s">
        <v>752</v>
      </c>
      <c r="E162" s="1068"/>
      <c r="G162" s="1063"/>
      <c r="I162" s="1098"/>
      <c r="M162" s="1129">
        <v>0</v>
      </c>
      <c r="N162" s="1056"/>
      <c r="O162" s="1056"/>
      <c r="P162" s="1130">
        <v>0</v>
      </c>
      <c r="Q162" s="1056"/>
      <c r="R162" s="1056"/>
      <c r="S162" s="1130">
        <v>0</v>
      </c>
      <c r="T162" s="1056"/>
      <c r="U162" s="1056"/>
      <c r="V162" s="1130">
        <v>0</v>
      </c>
      <c r="W162" s="1056"/>
      <c r="X162" s="1056"/>
      <c r="Y162" s="1130">
        <v>0</v>
      </c>
      <c r="Z162" s="1056"/>
      <c r="AA162" s="1056"/>
      <c r="AB162" s="1056"/>
      <c r="AC162" s="1056"/>
      <c r="AD162" s="63">
        <f t="shared" si="47"/>
        <v>0</v>
      </c>
    </row>
    <row r="163" spans="1:33" ht="15.95" hidden="1" customHeight="1">
      <c r="B163" s="1131" t="str">
        <f>IF(OR($AD163=0,$AD112=0),"Hide","SHOW")</f>
        <v>Hide</v>
      </c>
      <c r="C163" s="1058"/>
      <c r="D163" s="1068"/>
      <c r="E163" s="1068"/>
      <c r="G163" s="1063"/>
      <c r="I163" s="1098" t="s">
        <v>753</v>
      </c>
      <c r="N163" s="1056"/>
      <c r="O163" s="1056"/>
      <c r="P163" s="1056"/>
      <c r="Q163" s="1056"/>
      <c r="R163" s="1056"/>
      <c r="S163" s="1056"/>
      <c r="T163" s="1056"/>
      <c r="U163" s="1056"/>
      <c r="V163" s="1056"/>
      <c r="W163" s="1056"/>
      <c r="X163" s="1056"/>
      <c r="Y163" s="1056"/>
      <c r="Z163" s="1056"/>
      <c r="AA163" s="1056"/>
      <c r="AB163" s="1056"/>
      <c r="AC163" s="1056"/>
      <c r="AD163" s="1132">
        <f>SUM(AD164:AD172)</f>
        <v>0</v>
      </c>
    </row>
    <row r="164" spans="1:33" ht="15.95" hidden="1" customHeight="1">
      <c r="B164" s="63" t="str">
        <f>IF(AD165=0,"Hide","Show")</f>
        <v>Hide</v>
      </c>
      <c r="C164" s="1058"/>
      <c r="D164" s="1068"/>
      <c r="E164" s="1068"/>
      <c r="G164" s="1063">
        <v>274000</v>
      </c>
      <c r="I164" s="1064" t="s">
        <v>754</v>
      </c>
      <c r="N164" s="1056"/>
      <c r="O164" s="1056"/>
      <c r="P164" s="1056"/>
      <c r="Q164" s="1056"/>
      <c r="R164" s="1056"/>
      <c r="S164" s="1056"/>
      <c r="T164" s="1056"/>
      <c r="U164" s="1056"/>
      <c r="V164" s="1056"/>
      <c r="W164" s="1056"/>
      <c r="X164" s="1056"/>
      <c r="Y164" s="1056"/>
      <c r="Z164" s="1056"/>
      <c r="AA164" s="1056"/>
      <c r="AB164" s="1056"/>
      <c r="AC164" s="1056"/>
      <c r="AD164" s="1038"/>
    </row>
    <row r="165" spans="1:33" ht="15.95" hidden="1" customHeight="1">
      <c r="B165" s="63" t="str">
        <f t="shared" ref="B165:B170" si="48">IF(AD165=0,"Hide","Show")</f>
        <v>Hide</v>
      </c>
      <c r="C165" s="1058"/>
      <c r="D165" s="1068"/>
      <c r="E165" s="1068"/>
      <c r="G165" s="1063"/>
      <c r="I165" s="1070" t="s">
        <v>755</v>
      </c>
      <c r="M165" s="1044" t="str">
        <f t="shared" ref="M165:M170" si="49">IF(AND(M$16&gt;=400,M$16&lt;=599),"400..599","0")</f>
        <v>0</v>
      </c>
      <c r="N165" s="1056">
        <f>IF(M165="0",0,-(SUM(M161+M162)))</f>
        <v>0</v>
      </c>
      <c r="O165" s="1056"/>
      <c r="P165" s="1056" t="str">
        <f t="shared" ref="P165:P170" si="50">IF(AND(P$16&gt;=400,P$16&lt;=599),"400..599","0")</f>
        <v>0</v>
      </c>
      <c r="Q165" s="1056">
        <f>IF(P165="0",0,-(SUM(P161+P162)))</f>
        <v>0</v>
      </c>
      <c r="R165" s="1056"/>
      <c r="S165" s="1056" t="str">
        <f t="shared" ref="S165:S170" si="51">IF(AND(S$16&gt;=400,S$16&lt;=599),"400..599","0")</f>
        <v>0</v>
      </c>
      <c r="T165" s="1056">
        <f>IF(S165="0",0,-(SUM(S161+S162)))</f>
        <v>0</v>
      </c>
      <c r="U165" s="1056"/>
      <c r="V165" s="1056" t="str">
        <f t="shared" ref="V165:V170" si="52">IF(AND(V$16&gt;=400,V$16&lt;=599),"400..599","0")</f>
        <v>0</v>
      </c>
      <c r="W165" s="1056">
        <f>IF(V165="0",0,-(SUM(V161+V162)))</f>
        <v>0</v>
      </c>
      <c r="X165" s="1056"/>
      <c r="Y165" s="1056" t="str">
        <f t="shared" ref="Y165:Y170" si="53">IF(AND(Y$16&gt;=400,Y$16&lt;=599),"400..599","0")</f>
        <v>0</v>
      </c>
      <c r="Z165" s="1056">
        <f>IF(Y165="0",0,-(SUM(Y161+Y162)))</f>
        <v>0</v>
      </c>
      <c r="AA165" s="1056"/>
      <c r="AB165" s="1056"/>
      <c r="AC165" s="1056">
        <f t="shared" ref="AC165:AC170" si="54">SUM(N165:AB165)</f>
        <v>0</v>
      </c>
      <c r="AD165" s="63">
        <f t="shared" ref="AD165:AD170" si="55">ABS(SUM(N165:AB165))</f>
        <v>0</v>
      </c>
      <c r="AG165" s="1133"/>
    </row>
    <row r="166" spans="1:33" ht="15.95" hidden="1" customHeight="1">
      <c r="B166" s="63" t="str">
        <f t="shared" si="48"/>
        <v>Hide</v>
      </c>
      <c r="C166" s="1058"/>
      <c r="D166" s="1068"/>
      <c r="E166" s="1068"/>
      <c r="G166" s="1063">
        <v>275100</v>
      </c>
      <c r="I166" s="1064" t="s">
        <v>756</v>
      </c>
      <c r="M166" s="1044" t="str">
        <f t="shared" si="49"/>
        <v>0</v>
      </c>
      <c r="N166" s="1100">
        <f>IF(M166="0",0,IF(M159&lt;&gt;0,M159,IF(-SUM(M157+M158+M160)&lt;0,0,-(SUM(M157+M158+M160)))))</f>
        <v>0</v>
      </c>
      <c r="O166" s="1056"/>
      <c r="P166" s="1056" t="str">
        <f t="shared" si="50"/>
        <v>0</v>
      </c>
      <c r="Q166" s="1100">
        <f>IF(P166="0",0,IF(P159&lt;&gt;0,P159,IF(-SUM(P157+P158+P160)&lt;0,0,-(SUM(P157+P158+P160)))))</f>
        <v>0</v>
      </c>
      <c r="R166" s="1056"/>
      <c r="S166" s="1056" t="str">
        <f t="shared" si="51"/>
        <v>0</v>
      </c>
      <c r="T166" s="1100">
        <f>IF(S166="0",0,IF(S159&lt;&gt;0,S159,IF(-SUM(S157+S158+S160)&lt;0,0,-(SUM(S157+S158+S160)))))</f>
        <v>0</v>
      </c>
      <c r="U166" s="1056"/>
      <c r="V166" s="1056" t="str">
        <f t="shared" si="52"/>
        <v>0</v>
      </c>
      <c r="W166" s="1100">
        <f>IF(V166="0",0,IF(V159&lt;&gt;0,V159,IF(-SUM(V157+V158+V160)&lt;0,0,-(SUM(V157+V158+V160)))))</f>
        <v>0</v>
      </c>
      <c r="X166" s="1056"/>
      <c r="Y166" s="1056" t="str">
        <f t="shared" si="53"/>
        <v>0</v>
      </c>
      <c r="Z166" s="1100">
        <f>IF(Y166="0",0,IF(Y159&lt;&gt;0,Y159,IF(-SUM(Y157+Y158+Y160)&lt;0,0,-(SUM(Y157+Y158+Y160)))))</f>
        <v>0</v>
      </c>
      <c r="AA166" s="1056"/>
      <c r="AB166" s="1056"/>
      <c r="AC166" s="1056">
        <f t="shared" si="54"/>
        <v>0</v>
      </c>
      <c r="AD166" s="63">
        <f t="shared" si="55"/>
        <v>0</v>
      </c>
    </row>
    <row r="167" spans="1:33" ht="15.95" hidden="1" customHeight="1">
      <c r="B167" s="63" t="str">
        <f t="shared" si="48"/>
        <v>Hide</v>
      </c>
      <c r="C167" s="1058"/>
      <c r="D167" s="1068"/>
      <c r="E167" s="1068"/>
      <c r="G167" s="1063">
        <v>275000</v>
      </c>
      <c r="I167" s="1064" t="s">
        <v>757</v>
      </c>
      <c r="M167" s="1044" t="str">
        <f t="shared" si="49"/>
        <v>0</v>
      </c>
      <c r="N167" s="1056">
        <v>0</v>
      </c>
      <c r="O167" s="1056"/>
      <c r="P167" s="1056" t="str">
        <f t="shared" si="50"/>
        <v>0</v>
      </c>
      <c r="Q167" s="1056">
        <v>0</v>
      </c>
      <c r="R167" s="1056"/>
      <c r="S167" s="1056" t="str">
        <f t="shared" si="51"/>
        <v>0</v>
      </c>
      <c r="T167" s="1056">
        <v>0</v>
      </c>
      <c r="U167" s="1056"/>
      <c r="V167" s="1056" t="str">
        <f t="shared" si="52"/>
        <v>0</v>
      </c>
      <c r="W167" s="1056">
        <v>0</v>
      </c>
      <c r="X167" s="1056"/>
      <c r="Y167" s="1056" t="str">
        <f t="shared" si="53"/>
        <v>0</v>
      </c>
      <c r="Z167" s="1056">
        <v>0</v>
      </c>
      <c r="AA167" s="1056"/>
      <c r="AB167" s="1056"/>
      <c r="AC167" s="1056">
        <f t="shared" si="54"/>
        <v>0</v>
      </c>
      <c r="AD167" s="63">
        <f t="shared" si="55"/>
        <v>0</v>
      </c>
    </row>
    <row r="168" spans="1:33" ht="15.95" hidden="1" customHeight="1">
      <c r="B168" s="63" t="str">
        <f t="shared" si="48"/>
        <v>Hide</v>
      </c>
      <c r="C168" s="1058"/>
      <c r="D168" s="1068"/>
      <c r="E168" s="1068"/>
      <c r="G168" s="1063" t="s">
        <v>717</v>
      </c>
      <c r="I168" s="1064" t="s">
        <v>718</v>
      </c>
      <c r="M168" s="1044" t="str">
        <f t="shared" si="49"/>
        <v>0</v>
      </c>
      <c r="N168" s="1056">
        <v>0</v>
      </c>
      <c r="O168" s="1056"/>
      <c r="P168" s="1056" t="str">
        <f t="shared" si="50"/>
        <v>0</v>
      </c>
      <c r="Q168" s="1056">
        <v>0</v>
      </c>
      <c r="R168" s="1056"/>
      <c r="S168" s="1056" t="str">
        <f t="shared" si="51"/>
        <v>0</v>
      </c>
      <c r="T168" s="1056">
        <v>0</v>
      </c>
      <c r="U168" s="1056"/>
      <c r="V168" s="1056" t="str">
        <f t="shared" si="52"/>
        <v>0</v>
      </c>
      <c r="W168" s="1056">
        <v>0</v>
      </c>
      <c r="X168" s="1056"/>
      <c r="Y168" s="1056" t="str">
        <f t="shared" si="53"/>
        <v>0</v>
      </c>
      <c r="Z168" s="1056">
        <v>0</v>
      </c>
      <c r="AA168" s="1056"/>
      <c r="AB168" s="1056"/>
      <c r="AC168" s="1056">
        <f t="shared" si="54"/>
        <v>0</v>
      </c>
      <c r="AD168" s="63">
        <f t="shared" si="55"/>
        <v>0</v>
      </c>
    </row>
    <row r="169" spans="1:33" ht="15.95" hidden="1" customHeight="1">
      <c r="A169" s="63" t="s">
        <v>76</v>
      </c>
      <c r="B169" s="63" t="str">
        <f t="shared" si="48"/>
        <v>Hide</v>
      </c>
      <c r="C169" s="1058"/>
      <c r="D169" s="1068"/>
      <c r="E169" s="1068"/>
      <c r="G169" s="1063" t="str">
        <f>"247118"</f>
        <v>247118</v>
      </c>
      <c r="I169" s="1064" t="s">
        <v>719</v>
      </c>
      <c r="M169" s="1044" t="str">
        <f t="shared" si="49"/>
        <v>0</v>
      </c>
      <c r="N169" s="1056">
        <v>0</v>
      </c>
      <c r="O169" s="1056"/>
      <c r="P169" s="1056" t="str">
        <f t="shared" si="50"/>
        <v>0</v>
      </c>
      <c r="Q169" s="1056">
        <v>0</v>
      </c>
      <c r="R169" s="1056"/>
      <c r="S169" s="1056" t="str">
        <f t="shared" si="51"/>
        <v>0</v>
      </c>
      <c r="T169" s="1056">
        <v>0</v>
      </c>
      <c r="U169" s="1056"/>
      <c r="V169" s="1056" t="str">
        <f t="shared" si="52"/>
        <v>0</v>
      </c>
      <c r="W169" s="1056">
        <v>0</v>
      </c>
      <c r="X169" s="1056"/>
      <c r="Y169" s="1056" t="str">
        <f t="shared" si="53"/>
        <v>0</v>
      </c>
      <c r="Z169" s="1056">
        <v>0</v>
      </c>
      <c r="AA169" s="1056"/>
      <c r="AB169" s="1056"/>
      <c r="AC169" s="1056">
        <f t="shared" si="54"/>
        <v>0</v>
      </c>
      <c r="AD169" s="63">
        <f t="shared" si="55"/>
        <v>0</v>
      </c>
    </row>
    <row r="170" spans="1:33" ht="15.95" hidden="1" customHeight="1">
      <c r="A170" s="63" t="s">
        <v>76</v>
      </c>
      <c r="B170" s="63" t="str">
        <f t="shared" si="48"/>
        <v>Hide</v>
      </c>
      <c r="C170" s="1058"/>
      <c r="D170" s="1068"/>
      <c r="E170" s="1068"/>
      <c r="G170" s="1063" t="str">
        <f>"247199"</f>
        <v>247199</v>
      </c>
      <c r="I170" s="1064" t="s">
        <v>720</v>
      </c>
      <c r="M170" s="1044" t="str">
        <f t="shared" si="49"/>
        <v>0</v>
      </c>
      <c r="N170" s="1056">
        <v>0</v>
      </c>
      <c r="O170" s="1056"/>
      <c r="P170" s="1056" t="str">
        <f t="shared" si="50"/>
        <v>0</v>
      </c>
      <c r="Q170" s="1056">
        <v>0</v>
      </c>
      <c r="R170" s="1056"/>
      <c r="S170" s="1056" t="str">
        <f t="shared" si="51"/>
        <v>0</v>
      </c>
      <c r="T170" s="1056">
        <v>0</v>
      </c>
      <c r="U170" s="1056"/>
      <c r="V170" s="1056" t="str">
        <f t="shared" si="52"/>
        <v>0</v>
      </c>
      <c r="W170" s="1056">
        <v>0</v>
      </c>
      <c r="X170" s="1056"/>
      <c r="Y170" s="1056" t="str">
        <f t="shared" si="53"/>
        <v>0</v>
      </c>
      <c r="Z170" s="1056">
        <v>0</v>
      </c>
      <c r="AA170" s="1056"/>
      <c r="AB170" s="1056"/>
      <c r="AC170" s="1056">
        <f t="shared" si="54"/>
        <v>0</v>
      </c>
      <c r="AD170" s="63">
        <f t="shared" si="55"/>
        <v>0</v>
      </c>
    </row>
    <row r="171" spans="1:33" ht="15.95" hidden="1" customHeight="1">
      <c r="B171" s="63" t="s">
        <v>493</v>
      </c>
      <c r="C171" s="1058"/>
      <c r="D171" s="1068"/>
      <c r="E171" s="1068"/>
      <c r="G171" s="1063"/>
      <c r="I171" s="1064"/>
      <c r="M171" s="1044"/>
      <c r="N171" s="1056"/>
      <c r="O171" s="1056"/>
      <c r="P171" s="1056"/>
      <c r="Q171" s="1056"/>
      <c r="R171" s="1056"/>
      <c r="S171" s="1056"/>
      <c r="T171" s="1056"/>
      <c r="U171" s="1056"/>
      <c r="V171" s="1056"/>
      <c r="W171" s="1056"/>
      <c r="X171" s="1056"/>
      <c r="Y171" s="1056"/>
      <c r="Z171" s="1056"/>
      <c r="AA171" s="1056"/>
      <c r="AB171" s="1056"/>
      <c r="AC171" s="1056"/>
      <c r="AD171" s="1038"/>
    </row>
    <row r="172" spans="1:33" ht="15.95" hidden="1" customHeight="1">
      <c r="B172" s="63" t="str">
        <f t="shared" ref="B172:B173" si="56">IF(AD172=0,"Hide","Show")</f>
        <v>Hide</v>
      </c>
      <c r="C172" s="1058"/>
      <c r="D172" s="1068"/>
      <c r="E172" s="1068"/>
      <c r="G172" s="1063">
        <v>276000</v>
      </c>
      <c r="I172" s="1064" t="s">
        <v>758</v>
      </c>
      <c r="M172" s="1044" t="str">
        <f>IF(AND(M$16&gt;=400,M$16&lt;=599),"400..599","0")</f>
        <v>0</v>
      </c>
      <c r="N172" s="1056">
        <f>IF(M172="0",0,SUM(N81-N107-N175))</f>
        <v>0</v>
      </c>
      <c r="O172" s="1056"/>
      <c r="P172" s="1056" t="str">
        <f>IF(AND(P$16&gt;=400,P$16&lt;=599),"400..599","0")</f>
        <v>0</v>
      </c>
      <c r="Q172" s="1056">
        <f>IF(P172="0",0,SUM(Q81-Q107-Q175))</f>
        <v>0</v>
      </c>
      <c r="R172" s="1056"/>
      <c r="S172" s="1056" t="str">
        <f>IF(AND(S$16&gt;=400,S$16&lt;=599),"400..599","0")</f>
        <v>0</v>
      </c>
      <c r="T172" s="1056">
        <f>IF(S172="0",0,SUM(T81-T107-T175))</f>
        <v>0</v>
      </c>
      <c r="U172" s="1056"/>
      <c r="V172" s="1056" t="str">
        <f>IF(AND(V$16&gt;=400,V$16&lt;=599),"400..599","0")</f>
        <v>0</v>
      </c>
      <c r="W172" s="1056">
        <f>IF(V172="0",0,SUM(W81-W107-W175))</f>
        <v>0</v>
      </c>
      <c r="X172" s="1056"/>
      <c r="Y172" s="1056" t="str">
        <f>IF(AND(Y$16&gt;=400,Y$16&lt;=599),"400..599","0")</f>
        <v>0</v>
      </c>
      <c r="Z172" s="1056">
        <f>IF(Y172="0",0,SUM(Z81-Z107-Z175))</f>
        <v>0</v>
      </c>
      <c r="AA172" s="1056"/>
      <c r="AB172" s="1056"/>
      <c r="AC172" s="1056">
        <f>SUM(N172:AB172)</f>
        <v>0</v>
      </c>
      <c r="AD172" s="63">
        <f t="shared" ref="AD172:AD173" si="57">ABS(SUM(N172:AB172))</f>
        <v>0</v>
      </c>
      <c r="AG172" s="1133"/>
    </row>
    <row r="173" spans="1:33" ht="15.95" hidden="1" customHeight="1">
      <c r="B173" s="63" t="str">
        <f t="shared" si="56"/>
        <v>Hide</v>
      </c>
      <c r="C173" s="1058"/>
      <c r="D173" s="1068"/>
      <c r="E173" s="1068"/>
      <c r="G173" s="1063"/>
      <c r="M173" s="1102"/>
      <c r="N173" s="1056"/>
      <c r="O173" s="1056"/>
      <c r="P173" s="1056"/>
      <c r="Q173" s="1056"/>
      <c r="R173" s="1056"/>
      <c r="S173" s="1056"/>
      <c r="T173" s="1056"/>
      <c r="U173" s="1056"/>
      <c r="V173" s="1056"/>
      <c r="W173" s="1056"/>
      <c r="X173" s="1056"/>
      <c r="Y173" s="1056"/>
      <c r="Z173" s="1056"/>
      <c r="AA173" s="1056"/>
      <c r="AB173" s="1056"/>
      <c r="AC173" s="1056"/>
      <c r="AD173" s="63">
        <f t="shared" si="57"/>
        <v>0</v>
      </c>
    </row>
    <row r="174" spans="1:33" ht="7.5" customHeight="1">
      <c r="B174" s="63" t="str">
        <f>IF(SUM(AD110:AD173)=0,"Hide","Show")</f>
        <v>Show</v>
      </c>
      <c r="C174" s="1058"/>
      <c r="D174" s="1068"/>
      <c r="E174" s="1068"/>
      <c r="G174" s="1063"/>
      <c r="I174" s="1049"/>
      <c r="J174" s="1049"/>
      <c r="K174" s="1049"/>
      <c r="L174" s="1049"/>
      <c r="M174" s="1049"/>
      <c r="N174" s="1074"/>
      <c r="O174" s="1074"/>
      <c r="P174" s="1074"/>
      <c r="Q174" s="1074"/>
      <c r="R174" s="1074"/>
      <c r="S174" s="1074"/>
      <c r="T174" s="1074"/>
      <c r="U174" s="1074"/>
      <c r="V174" s="1074"/>
      <c r="W174" s="1074"/>
      <c r="X174" s="1074"/>
      <c r="Y174" s="1074"/>
      <c r="Z174" s="1074"/>
      <c r="AA174" s="1074"/>
      <c r="AB174" s="1074"/>
      <c r="AC174" s="1074"/>
      <c r="AD174" s="1038"/>
    </row>
    <row r="175" spans="1:33" hidden="1">
      <c r="B175" s="63" t="s">
        <v>31</v>
      </c>
      <c r="G175" s="1063"/>
      <c r="I175" s="1134" t="s">
        <v>759</v>
      </c>
      <c r="J175" s="1049"/>
      <c r="K175" s="1049"/>
      <c r="L175" s="1135"/>
      <c r="M175" s="1049"/>
      <c r="N175" s="1074">
        <f>SUM(N158,N150,N142,N130,N135:N137)+SUM(N116:N124)+SUM(N165:N171)</f>
        <v>564188</v>
      </c>
      <c r="O175" s="1074"/>
      <c r="P175" s="1074"/>
      <c r="Q175" s="1074">
        <f>SUM(Q158,Q150,Q142,Q130,Q135:Q137)+SUM(Q116:Q124)+SUM(Q165:Q171)</f>
        <v>0</v>
      </c>
      <c r="R175" s="1074"/>
      <c r="S175" s="1074"/>
      <c r="T175" s="1074">
        <f>SUM(T158,T150,T142,T130,T135:T137)+SUM(T116:T124)+SUM(T165:T171)</f>
        <v>0</v>
      </c>
      <c r="U175" s="1074"/>
      <c r="V175" s="1074"/>
      <c r="W175" s="1074">
        <f>SUM(W158,W150,W142,W130,W135:W137)+SUM(W116:W124)+SUM(W165:W171)</f>
        <v>0</v>
      </c>
      <c r="X175" s="1074"/>
      <c r="Y175" s="1074"/>
      <c r="Z175" s="1074">
        <f>SUM(Z158,Z150,Z142,Z130,Z135:Z137)+SUM(Z116:Z124)+SUM(Z165:Z171)</f>
        <v>0</v>
      </c>
      <c r="AA175" s="1074"/>
      <c r="AB175" s="1074"/>
      <c r="AC175" s="1074">
        <f>SUM(N175:AB175)</f>
        <v>564188</v>
      </c>
      <c r="AD175" s="63">
        <f t="shared" ref="AD175:AD176" si="58">ABS(SUM(N175:AB175))</f>
        <v>564188</v>
      </c>
    </row>
    <row r="176" spans="1:33" ht="15.75" customHeight="1">
      <c r="B176" s="63" t="str">
        <f>IF(AD176=0,"Hide","Show")</f>
        <v>Show</v>
      </c>
      <c r="G176" s="1063"/>
      <c r="H176" s="1049"/>
      <c r="I176" s="1088" t="str">
        <f>"TOTAL "&amp;I110</f>
        <v>TOTAL FUND BALANCES</v>
      </c>
      <c r="J176" s="1089"/>
      <c r="K176" s="1089"/>
      <c r="L176" s="1089"/>
      <c r="M176" s="1136"/>
      <c r="N176" s="1090">
        <f>N113+N114+N172+N125+N175</f>
        <v>1172130</v>
      </c>
      <c r="O176" s="1087"/>
      <c r="P176" s="1087"/>
      <c r="Q176" s="1091">
        <f>Q113+Q114+Q172+Q125+Q175</f>
        <v>0</v>
      </c>
      <c r="R176" s="1087"/>
      <c r="S176" s="1087"/>
      <c r="T176" s="1091">
        <f>T113+T114+T172+T125+T175</f>
        <v>0</v>
      </c>
      <c r="U176" s="1087"/>
      <c r="V176" s="1087"/>
      <c r="W176" s="1090">
        <f>W113+W114+W172+W125+W175</f>
        <v>1690940</v>
      </c>
      <c r="X176" s="1087"/>
      <c r="Y176" s="1087"/>
      <c r="Z176" s="1090">
        <f>Z113+Z114+Z172+Z125+Z175</f>
        <v>485290</v>
      </c>
      <c r="AA176" s="1087"/>
      <c r="AB176" s="1087"/>
      <c r="AC176" s="1092">
        <f>AC113+AC114+AC172+AC125+AC175</f>
        <v>3348360</v>
      </c>
      <c r="AD176" s="1132">
        <f t="shared" si="58"/>
        <v>3348360</v>
      </c>
    </row>
    <row r="177" spans="2:30" ht="0.95" hidden="1" customHeight="1">
      <c r="B177" s="63" t="str">
        <f>IF(I181&lt;&gt;"net assets","Hide","Show")</f>
        <v>Hide</v>
      </c>
      <c r="G177" s="1063"/>
      <c r="H177" s="1049"/>
      <c r="I177" s="1137"/>
      <c r="J177" s="1137"/>
      <c r="K177" s="1137"/>
      <c r="L177" s="1137"/>
      <c r="M177" s="1137"/>
      <c r="N177" s="1138"/>
      <c r="O177" s="1138"/>
      <c r="P177" s="1138"/>
      <c r="Q177" s="1138"/>
      <c r="R177" s="1138"/>
      <c r="S177" s="1138"/>
      <c r="T177" s="1138"/>
      <c r="U177" s="1138"/>
      <c r="V177" s="1138"/>
      <c r="W177" s="1138"/>
      <c r="X177" s="1138"/>
      <c r="Y177" s="1138"/>
      <c r="Z177" s="1138"/>
      <c r="AA177" s="1138"/>
      <c r="AB177" s="1138"/>
      <c r="AC177" s="1138"/>
      <c r="AD177" s="1132"/>
    </row>
    <row r="178" spans="2:30" hidden="1">
      <c r="B178" s="1131" t="str">
        <f>IF(OR(I181="net assets",AD176=0),"Hide","Show")</f>
        <v>Show</v>
      </c>
      <c r="G178" s="1063"/>
      <c r="I178" s="1049"/>
      <c r="J178" s="1049"/>
      <c r="K178" s="1049"/>
      <c r="L178" s="1049"/>
      <c r="M178" s="1049"/>
      <c r="N178" s="1074"/>
      <c r="O178" s="1074"/>
      <c r="P178" s="1074"/>
      <c r="Q178" s="1074"/>
      <c r="R178" s="1074"/>
      <c r="S178" s="1074"/>
      <c r="T178" s="1074"/>
      <c r="U178" s="1074"/>
      <c r="V178" s="1074"/>
      <c r="W178" s="1074"/>
      <c r="X178" s="1074"/>
      <c r="Y178" s="1074"/>
      <c r="Z178" s="1074"/>
      <c r="AA178" s="1074"/>
      <c r="AB178" s="1074"/>
      <c r="AC178" s="1074"/>
      <c r="AD178" s="1038"/>
    </row>
    <row r="179" spans="2:30" ht="9.9499999999999993" customHeight="1">
      <c r="B179" s="1131" t="str">
        <f>IF(OR(I181="net assets",AD176=0),"Hide","Show")</f>
        <v>Show</v>
      </c>
      <c r="G179" s="1063"/>
      <c r="I179" s="1139"/>
      <c r="J179" s="1139"/>
      <c r="K179" s="1139"/>
      <c r="L179" s="1139"/>
      <c r="M179" s="1139"/>
      <c r="N179" s="1140"/>
      <c r="O179" s="1140"/>
      <c r="P179" s="1140"/>
      <c r="Q179" s="1140"/>
      <c r="R179" s="1140"/>
      <c r="S179" s="1140"/>
      <c r="T179" s="1140"/>
      <c r="U179" s="1140"/>
      <c r="V179" s="1140"/>
      <c r="W179" s="1140"/>
      <c r="X179" s="1140"/>
      <c r="Y179" s="1140"/>
      <c r="Z179" s="1140"/>
      <c r="AA179" s="1140"/>
      <c r="AB179" s="1140"/>
      <c r="AC179" s="1140"/>
      <c r="AD179" s="1038"/>
    </row>
    <row r="180" spans="2:30" ht="15.75" customHeight="1">
      <c r="B180" s="1131" t="str">
        <f>B181</f>
        <v>Show</v>
      </c>
      <c r="G180" s="1063"/>
      <c r="I180" s="1141" t="s">
        <v>760</v>
      </c>
      <c r="J180" s="1049"/>
      <c r="K180" s="1049"/>
      <c r="L180" s="1049"/>
      <c r="M180" s="1049"/>
      <c r="N180" s="1074"/>
      <c r="O180" s="1074"/>
      <c r="P180" s="1074"/>
      <c r="Q180" s="1074"/>
      <c r="R180" s="1074"/>
      <c r="S180" s="1074"/>
      <c r="T180" s="1074"/>
      <c r="U180" s="1074"/>
      <c r="V180" s="1074"/>
      <c r="W180" s="1074"/>
      <c r="X180" s="1074"/>
      <c r="Y180" s="1074"/>
      <c r="Z180" s="1074"/>
      <c r="AA180" s="1074"/>
      <c r="AB180" s="1074"/>
      <c r="AC180" s="1142"/>
      <c r="AD180" s="1038">
        <f>IF(OR(AD163=0,AD110=0),0,AD163+AD110)</f>
        <v>0</v>
      </c>
    </row>
    <row r="181" spans="2:30" ht="15.75" customHeight="1">
      <c r="B181" s="1131" t="str">
        <f>IF(OR(I181="net assets",AD181=0),"Hide","Show")</f>
        <v>Show</v>
      </c>
      <c r="G181" s="1063"/>
      <c r="I181" s="1143" t="str">
        <f>I110</f>
        <v>FUND BALANCES</v>
      </c>
      <c r="J181" s="1144"/>
      <c r="K181" s="1144"/>
      <c r="L181" s="1144"/>
      <c r="M181" s="1144"/>
      <c r="N181" s="1145">
        <f>SUM(N176+N107)</f>
        <v>1268161</v>
      </c>
      <c r="O181" s="1146"/>
      <c r="P181" s="1146"/>
      <c r="Q181" s="1147">
        <f>SUM(Q176+Q107)</f>
        <v>0</v>
      </c>
      <c r="R181" s="1146"/>
      <c r="S181" s="1146"/>
      <c r="T181" s="1147">
        <f>SUM(T176+T107)</f>
        <v>0</v>
      </c>
      <c r="U181" s="1146"/>
      <c r="V181" s="1146"/>
      <c r="W181" s="1145">
        <f>SUM(W176+W107)</f>
        <v>1695234</v>
      </c>
      <c r="X181" s="1146"/>
      <c r="Y181" s="1146"/>
      <c r="Z181" s="1145">
        <f>SUM(Z176+Z107)</f>
        <v>485290</v>
      </c>
      <c r="AA181" s="1146"/>
      <c r="AB181" s="1146"/>
      <c r="AC181" s="1148">
        <f>SUM(N181:AB181)</f>
        <v>3448685</v>
      </c>
      <c r="AD181" s="1038">
        <f>ABS(SUM(N181:AB181))</f>
        <v>3448685</v>
      </c>
    </row>
    <row r="182" spans="2:30" hidden="1">
      <c r="B182" s="63" t="s">
        <v>31</v>
      </c>
      <c r="G182" s="1063"/>
      <c r="N182" s="1056"/>
      <c r="O182" s="1056"/>
      <c r="P182" s="1056"/>
      <c r="Q182" s="1056"/>
      <c r="R182" s="1056"/>
      <c r="S182" s="1056"/>
      <c r="T182" s="1056"/>
      <c r="U182" s="1056"/>
      <c r="V182" s="1056"/>
      <c r="W182" s="1056"/>
      <c r="X182" s="1056"/>
      <c r="Y182" s="1056"/>
      <c r="Z182" s="1056"/>
      <c r="AA182" s="1056"/>
      <c r="AB182" s="1056"/>
      <c r="AC182" s="1056"/>
      <c r="AD182" s="1038"/>
    </row>
    <row r="183" spans="2:30" hidden="1">
      <c r="B183" s="63" t="s">
        <v>31</v>
      </c>
      <c r="G183" s="1063"/>
      <c r="I183" s="63" t="s">
        <v>761</v>
      </c>
      <c r="N183" s="1056">
        <f>ABS(SUM(N81+N107+N181))</f>
        <v>2632353</v>
      </c>
      <c r="O183" s="1056"/>
      <c r="P183" s="1056"/>
      <c r="Q183" s="1056">
        <f>ABS(SUM(Q81+Q107+Q181))</f>
        <v>0</v>
      </c>
      <c r="R183" s="1056"/>
      <c r="S183" s="1056"/>
      <c r="T183" s="1056">
        <f>ABS(SUM(T81+T107+T181))</f>
        <v>0</v>
      </c>
      <c r="U183" s="1056"/>
      <c r="V183" s="1056"/>
      <c r="W183" s="1056">
        <f>ABS(SUM(W81+W107+W181))</f>
        <v>3394762</v>
      </c>
      <c r="X183" s="1056"/>
      <c r="Y183" s="1056"/>
      <c r="Z183" s="1056">
        <f>ABS(SUM(Z81+Z107+Z181))</f>
        <v>970580</v>
      </c>
      <c r="AA183" s="1056"/>
      <c r="AB183" s="1056"/>
      <c r="AC183" s="1056">
        <f>SUM(N183:AB183)</f>
        <v>6997695</v>
      </c>
      <c r="AD183" s="1038">
        <f>ABS(SUM(N183:AB183))</f>
        <v>6997695</v>
      </c>
    </row>
    <row r="184" spans="2:30" hidden="1">
      <c r="B184" s="63" t="s">
        <v>31</v>
      </c>
      <c r="G184" s="1063"/>
      <c r="N184" s="1056"/>
      <c r="O184" s="1056"/>
      <c r="P184" s="1056"/>
      <c r="Q184" s="1056"/>
      <c r="R184" s="1056"/>
      <c r="S184" s="1056"/>
      <c r="T184" s="1056"/>
      <c r="U184" s="1056"/>
      <c r="V184" s="1056"/>
      <c r="W184" s="1056"/>
      <c r="X184" s="1056"/>
      <c r="Y184" s="1056"/>
      <c r="Z184" s="1056"/>
      <c r="AA184" s="1056"/>
      <c r="AB184" s="1056"/>
      <c r="AC184" s="1056"/>
    </row>
    <row r="185" spans="2:30" hidden="1">
      <c r="B185" s="63" t="s">
        <v>31</v>
      </c>
      <c r="G185" s="1063"/>
      <c r="N185" s="1056"/>
      <c r="O185" s="1056"/>
      <c r="P185" s="1056"/>
      <c r="Q185" s="1056"/>
      <c r="R185" s="1056"/>
      <c r="S185" s="1056"/>
      <c r="T185" s="1056"/>
      <c r="U185" s="1056"/>
      <c r="V185" s="1056"/>
      <c r="W185" s="1056"/>
      <c r="X185" s="1056"/>
      <c r="Y185" s="1056"/>
      <c r="Z185" s="1056"/>
      <c r="AA185" s="1056"/>
      <c r="AB185" s="1056"/>
      <c r="AC185" s="1056"/>
    </row>
    <row r="186" spans="2:30" hidden="1">
      <c r="B186" s="63" t="s">
        <v>31</v>
      </c>
      <c r="G186" s="1063"/>
      <c r="N186" s="1056"/>
      <c r="O186" s="1056"/>
      <c r="P186" s="1056"/>
      <c r="Q186" s="1056"/>
      <c r="R186" s="1056"/>
      <c r="S186" s="1056"/>
      <c r="T186" s="1056"/>
      <c r="U186" s="1056"/>
      <c r="V186" s="1056"/>
      <c r="W186" s="1056"/>
      <c r="X186" s="1056"/>
      <c r="Y186" s="1056"/>
      <c r="Z186" s="1056"/>
      <c r="AA186" s="1056"/>
      <c r="AB186" s="1056"/>
      <c r="AC186" s="1056"/>
    </row>
    <row r="187" spans="2:30" hidden="1">
      <c r="B187" s="63" t="s">
        <v>31</v>
      </c>
      <c r="N187" s="1056"/>
      <c r="O187" s="1056"/>
      <c r="P187" s="1056"/>
      <c r="Q187" s="1056"/>
      <c r="R187" s="1056"/>
      <c r="S187" s="1056"/>
      <c r="T187" s="1056"/>
      <c r="U187" s="1056"/>
      <c r="V187" s="1056"/>
      <c r="W187" s="1056"/>
      <c r="X187" s="1056"/>
      <c r="Y187" s="1056"/>
      <c r="Z187" s="1056"/>
      <c r="AA187" s="1056"/>
      <c r="AB187" s="1056"/>
      <c r="AC187" s="1056"/>
    </row>
    <row r="188" spans="2:30" hidden="1">
      <c r="B188" s="63" t="s">
        <v>31</v>
      </c>
      <c r="N188" s="1056"/>
      <c r="O188" s="1056"/>
      <c r="P188" s="1056"/>
      <c r="Q188" s="1056"/>
      <c r="R188" s="1056"/>
      <c r="S188" s="1056"/>
      <c r="T188" s="1056"/>
      <c r="U188" s="1056"/>
      <c r="V188" s="1056"/>
      <c r="W188" s="1056"/>
      <c r="X188" s="1056"/>
      <c r="Y188" s="1056"/>
      <c r="Z188" s="1056"/>
      <c r="AA188" s="1056"/>
      <c r="AB188" s="1056"/>
      <c r="AC188" s="1056"/>
    </row>
    <row r="189" spans="2:30" hidden="1">
      <c r="B189" s="63" t="str">
        <f t="shared" ref="B189:B195" si="59">B190</f>
        <v>hide</v>
      </c>
      <c r="N189" s="1056"/>
      <c r="O189" s="1056"/>
      <c r="P189" s="1056"/>
      <c r="Q189" s="1056"/>
      <c r="R189" s="1056"/>
      <c r="S189" s="1056"/>
      <c r="T189" s="1056"/>
      <c r="U189" s="1056"/>
      <c r="V189" s="1056"/>
      <c r="W189" s="1056"/>
      <c r="X189" s="1056"/>
      <c r="Y189" s="1056"/>
      <c r="Z189" s="1056"/>
      <c r="AA189" s="1056"/>
      <c r="AB189" s="1056"/>
      <c r="AC189" s="1056"/>
    </row>
    <row r="190" spans="2:30" hidden="1">
      <c r="B190" s="63" t="str">
        <f t="shared" si="59"/>
        <v>hide</v>
      </c>
      <c r="N190" s="1056"/>
      <c r="O190" s="1056"/>
      <c r="P190" s="1056"/>
      <c r="Q190" s="1056"/>
      <c r="R190" s="1056"/>
      <c r="S190" s="1056"/>
      <c r="T190" s="1056"/>
      <c r="U190" s="1056"/>
      <c r="V190" s="1056"/>
      <c r="W190" s="1056"/>
      <c r="X190" s="1056"/>
      <c r="Y190" s="1056"/>
      <c r="Z190" s="1056"/>
      <c r="AA190" s="1056"/>
      <c r="AB190" s="1056"/>
      <c r="AC190" s="1056"/>
    </row>
    <row r="191" spans="2:30" ht="27.75" hidden="1" customHeight="1">
      <c r="B191" s="63" t="str">
        <f t="shared" si="59"/>
        <v>hide</v>
      </c>
      <c r="N191" s="1149" t="s">
        <v>762</v>
      </c>
      <c r="O191" s="1150"/>
      <c r="P191" s="1056"/>
      <c r="Q191" s="1149" t="s">
        <v>762</v>
      </c>
      <c r="R191" s="1150"/>
      <c r="S191" s="1056"/>
      <c r="T191" s="1149" t="s">
        <v>762</v>
      </c>
      <c r="U191" s="1150"/>
      <c r="V191" s="1056"/>
      <c r="W191" s="1149" t="s">
        <v>762</v>
      </c>
      <c r="X191" s="1150"/>
      <c r="Y191" s="1056"/>
      <c r="Z191" s="1149" t="s">
        <v>762</v>
      </c>
      <c r="AA191" s="1150"/>
      <c r="AB191" s="1056"/>
      <c r="AC191" s="1056"/>
    </row>
    <row r="192" spans="2:30" ht="15" hidden="1" customHeight="1">
      <c r="B192" s="63" t="str">
        <f t="shared" si="59"/>
        <v>hide</v>
      </c>
      <c r="N192" s="1151">
        <f>SUM(N107+N176-N81)</f>
        <v>0</v>
      </c>
      <c r="O192" s="1151"/>
      <c r="P192" s="1056"/>
      <c r="Q192" s="1151">
        <f>SUM(Q107+Q176-Q81)</f>
        <v>0</v>
      </c>
      <c r="R192" s="1151"/>
      <c r="S192" s="1056"/>
      <c r="T192" s="1151">
        <f>SUM(T107+T176-T81)</f>
        <v>0</v>
      </c>
      <c r="U192" s="1151"/>
      <c r="V192" s="1056"/>
      <c r="W192" s="1151">
        <f>SUM(W107+W176-W81)</f>
        <v>0</v>
      </c>
      <c r="X192" s="1151"/>
      <c r="Y192" s="1056"/>
      <c r="Z192" s="1151">
        <f>SUM(Z107+Z176-Z81)</f>
        <v>0</v>
      </c>
      <c r="AA192" s="1151"/>
      <c r="AB192" s="1056"/>
      <c r="AC192" s="1056">
        <f>SUM(N192:AB192)</f>
        <v>0</v>
      </c>
      <c r="AD192" s="1041"/>
    </row>
    <row r="193" spans="2:29" ht="7.5" hidden="1" customHeight="1">
      <c r="B193" s="63" t="str">
        <f t="shared" si="59"/>
        <v>hide</v>
      </c>
      <c r="N193" s="1150"/>
      <c r="O193" s="1150"/>
      <c r="P193" s="1056"/>
      <c r="Q193" s="1150"/>
      <c r="R193" s="1150"/>
      <c r="S193" s="1056"/>
      <c r="T193" s="1150"/>
      <c r="U193" s="1150"/>
      <c r="V193" s="1056"/>
      <c r="W193" s="1150"/>
      <c r="X193" s="1150"/>
      <c r="Y193" s="1056"/>
      <c r="Z193" s="1150"/>
      <c r="AA193" s="1150"/>
      <c r="AB193" s="1056"/>
      <c r="AC193" s="1056"/>
    </row>
    <row r="194" spans="2:29" ht="15" hidden="1" customHeight="1">
      <c r="B194" s="1131" t="str">
        <f t="shared" si="59"/>
        <v>hide</v>
      </c>
      <c r="D194" s="63" t="s">
        <v>71</v>
      </c>
      <c r="I194" s="63" t="s">
        <v>66</v>
      </c>
      <c r="N194" s="1056">
        <v>1268161.1599999999</v>
      </c>
      <c r="O194" s="1150"/>
      <c r="P194" s="1056"/>
      <c r="Q194" s="1056">
        <v>0</v>
      </c>
      <c r="R194" s="1150"/>
      <c r="S194" s="1056"/>
      <c r="T194" s="1056">
        <v>0.01</v>
      </c>
      <c r="U194" s="1150"/>
      <c r="V194" s="1056"/>
      <c r="W194" s="1056">
        <v>1695234.29</v>
      </c>
      <c r="X194" s="1150"/>
      <c r="Y194" s="1056"/>
      <c r="Z194" s="1056">
        <v>485289.74</v>
      </c>
      <c r="AA194" s="1150"/>
      <c r="AB194" s="1056"/>
      <c r="AC194" s="1056">
        <f t="shared" ref="AC194:AC196" si="60">SUM(N194:AB194)</f>
        <v>3448685.2</v>
      </c>
    </row>
    <row r="195" spans="2:29" ht="15" hidden="1" customHeight="1">
      <c r="B195" s="1131" t="str">
        <f t="shared" si="59"/>
        <v>hide</v>
      </c>
      <c r="D195" s="63" t="s">
        <v>72</v>
      </c>
      <c r="I195" s="63" t="s">
        <v>763</v>
      </c>
      <c r="N195" s="1056">
        <v>-96031.66</v>
      </c>
      <c r="O195" s="1150"/>
      <c r="P195" s="1056"/>
      <c r="Q195" s="1056">
        <v>0</v>
      </c>
      <c r="R195" s="1150"/>
      <c r="S195" s="1056"/>
      <c r="T195" s="1056">
        <v>0</v>
      </c>
      <c r="U195" s="1150"/>
      <c r="V195" s="1056"/>
      <c r="W195" s="1056">
        <v>-4294.16</v>
      </c>
      <c r="X195" s="1150"/>
      <c r="Y195" s="1056"/>
      <c r="Z195" s="1056">
        <v>0</v>
      </c>
      <c r="AA195" s="1150"/>
      <c r="AB195" s="1056"/>
      <c r="AC195" s="1056">
        <f t="shared" si="60"/>
        <v>-100325.82</v>
      </c>
    </row>
    <row r="196" spans="2:29" ht="15" hidden="1" customHeight="1">
      <c r="B196" s="1131" t="str">
        <f>IF(AC196&lt;10,"hide","show")</f>
        <v>hide</v>
      </c>
      <c r="I196" s="1085" t="s">
        <v>764</v>
      </c>
      <c r="N196" s="1152">
        <f>ABS((N81-N107)-(N194+N195))</f>
        <v>0.5</v>
      </c>
      <c r="O196" s="1150"/>
      <c r="P196" s="1056"/>
      <c r="Q196" s="1152">
        <f>ABS((Q81-Q107)-(Q194+Q195))</f>
        <v>0</v>
      </c>
      <c r="R196" s="1150"/>
      <c r="S196" s="1056"/>
      <c r="T196" s="1152">
        <f>ABS((T81-T107)-(T194+T195))</f>
        <v>0.01</v>
      </c>
      <c r="U196" s="1150"/>
      <c r="V196" s="1056"/>
      <c r="W196" s="1152">
        <f>ABS((W81-W107)-(W194+W195))</f>
        <v>0.13000000012107193</v>
      </c>
      <c r="X196" s="1150"/>
      <c r="Y196" s="1056"/>
      <c r="Z196" s="1152">
        <f>ABS((Z81-Z107)-(Z194+Z195))</f>
        <v>0.26000000000931323</v>
      </c>
      <c r="AA196" s="1150"/>
      <c r="AB196" s="1056"/>
      <c r="AC196" s="1056">
        <f t="shared" si="60"/>
        <v>0.90000000013038517</v>
      </c>
    </row>
    <row r="197" spans="2:29" ht="15" hidden="1" customHeight="1">
      <c r="B197" s="1131" t="str">
        <f t="shared" ref="B197:B201" si="61">B196</f>
        <v>hide</v>
      </c>
      <c r="N197" s="1150"/>
      <c r="O197" s="1150"/>
      <c r="P197" s="1056"/>
      <c r="Q197" s="1150"/>
      <c r="R197" s="1150"/>
      <c r="S197" s="1056"/>
      <c r="T197" s="1150"/>
      <c r="U197" s="1150"/>
      <c r="V197" s="1056"/>
      <c r="W197" s="1150"/>
      <c r="X197" s="1150"/>
      <c r="Y197" s="1056"/>
      <c r="Z197" s="1150"/>
      <c r="AA197" s="1150"/>
      <c r="AB197" s="1056"/>
      <c r="AC197" s="1056"/>
    </row>
    <row r="198" spans="2:29" ht="12.75" hidden="1" customHeight="1">
      <c r="B198" s="63" t="str">
        <f t="shared" si="61"/>
        <v>hide</v>
      </c>
      <c r="D198" s="63" t="s">
        <v>765</v>
      </c>
      <c r="N198" s="1056">
        <v>581826.43999999994</v>
      </c>
      <c r="O198" s="1056"/>
      <c r="P198" s="1056"/>
      <c r="Q198" s="1056">
        <v>0</v>
      </c>
      <c r="R198" s="1056"/>
      <c r="S198" s="1056"/>
      <c r="T198" s="1056">
        <v>0</v>
      </c>
      <c r="U198" s="1056"/>
      <c r="V198" s="1056"/>
      <c r="W198" s="1056">
        <v>561385.72</v>
      </c>
      <c r="X198" s="1056"/>
      <c r="Y198" s="1056"/>
      <c r="Z198" s="1056">
        <v>128515.78</v>
      </c>
      <c r="AA198" s="1056"/>
      <c r="AB198" s="1056"/>
      <c r="AC198" s="1056">
        <f t="shared" ref="AC198:AC199" si="62">SUM(N198:AB198)</f>
        <v>1271727.94</v>
      </c>
    </row>
    <row r="199" spans="2:29" hidden="1">
      <c r="B199" s="63" t="str">
        <f t="shared" si="61"/>
        <v>hide</v>
      </c>
      <c r="D199" s="63" t="s">
        <v>74</v>
      </c>
      <c r="N199" s="1056">
        <v>-581826.43999999994</v>
      </c>
      <c r="O199" s="1056"/>
      <c r="P199" s="1056"/>
      <c r="Q199" s="1056">
        <v>0</v>
      </c>
      <c r="R199" s="1056"/>
      <c r="S199" s="1056"/>
      <c r="T199" s="1056">
        <v>0</v>
      </c>
      <c r="U199" s="1056"/>
      <c r="V199" s="1056"/>
      <c r="W199" s="1056">
        <v>-561385.72</v>
      </c>
      <c r="X199" s="1056"/>
      <c r="Y199" s="1056"/>
      <c r="Z199" s="1056">
        <v>-128515.78</v>
      </c>
      <c r="AA199" s="1056"/>
      <c r="AB199" s="1056"/>
      <c r="AC199" s="1056">
        <f t="shared" si="62"/>
        <v>-1271727.94</v>
      </c>
    </row>
    <row r="200" spans="2:29" ht="27.75" hidden="1" customHeight="1">
      <c r="B200" s="63" t="str">
        <f t="shared" si="61"/>
        <v>hide</v>
      </c>
      <c r="N200" s="1149" t="s">
        <v>766</v>
      </c>
      <c r="O200" s="1150"/>
      <c r="P200" s="1056"/>
      <c r="Q200" s="1149" t="s">
        <v>766</v>
      </c>
      <c r="R200" s="1150"/>
      <c r="S200" s="1056"/>
      <c r="T200" s="1149" t="s">
        <v>766</v>
      </c>
      <c r="U200" s="1150"/>
      <c r="V200" s="1056"/>
      <c r="W200" s="1149" t="s">
        <v>766</v>
      </c>
      <c r="X200" s="1150"/>
      <c r="Y200" s="1056"/>
      <c r="Z200" s="1149" t="s">
        <v>766</v>
      </c>
      <c r="AA200" s="1150"/>
      <c r="AB200" s="1056"/>
      <c r="AC200" s="1056"/>
    </row>
    <row r="201" spans="2:29" hidden="1">
      <c r="B201" s="63" t="str">
        <f t="shared" si="61"/>
        <v>hide</v>
      </c>
      <c r="D201" s="1068"/>
      <c r="N201" s="1056">
        <f>SUM(N198+N199)</f>
        <v>0</v>
      </c>
      <c r="O201" s="1056"/>
      <c r="P201" s="1056"/>
      <c r="Q201" s="1056">
        <f>SUM(Q198+Q199)</f>
        <v>0</v>
      </c>
      <c r="R201" s="1056"/>
      <c r="S201" s="1056"/>
      <c r="T201" s="1056">
        <f>SUM(T198+T199)</f>
        <v>0</v>
      </c>
      <c r="U201" s="1056"/>
      <c r="V201" s="1056"/>
      <c r="W201" s="1056">
        <f>SUM(W198+W199)</f>
        <v>0</v>
      </c>
      <c r="X201" s="1056"/>
      <c r="Y201" s="1056"/>
      <c r="Z201" s="1056">
        <f>SUM(Z198+Z199)</f>
        <v>0</v>
      </c>
      <c r="AA201" s="1056"/>
      <c r="AB201" s="1056"/>
      <c r="AC201" s="1056">
        <f>SUM(N201:AB201)</f>
        <v>0</v>
      </c>
    </row>
  </sheetData>
  <sheetProtection selectLockedCells="1" selectUnlockedCells="1"/>
  <conditionalFormatting sqref="N180:N181 N107 Q180:Q181 T180:T181 W180:W181 Z180:Z181 Q107 T107 W107 Z107">
    <cfRule type="expression" dxfId="2" priority="1" stopIfTrue="1">
      <formula>$AC$9&lt;2</formula>
    </cfRule>
  </conditionalFormatting>
  <conditionalFormatting sqref="N81 Q81 T81 W81 Z81">
    <cfRule type="expression" dxfId="1" priority="2" stopIfTrue="1">
      <formula>$AC$9&lt;2</formula>
    </cfRule>
  </conditionalFormatting>
  <conditionalFormatting sqref="N176 AC176 Q176 T176 W176 Z176">
    <cfRule type="expression" dxfId="0" priority="3" stopIfTrue="1">
      <formula>$AC$9&lt;2</formula>
    </cfRule>
  </conditionalFormatting>
  <printOptions horizontalCentered="1"/>
  <pageMargins left="0.5" right="0.5" top="1.5333333333333332" bottom="1.1777777777777776" header="0.4" footer="0.35"/>
  <pageSetup scale="90" firstPageNumber="0" orientation="portrait" horizontalDpi="300" verticalDpi="300"/>
  <headerFooter alignWithMargins="0">
    <oddHeader>&amp;L&amp;"Arial black,Bold"&amp;12HARMONY CENTRAL
Community Development District</oddHeader>
    <oddFooter>&amp;L&amp;8     Fiscal Year 2016
&amp;10     Annual Operating and Debt Service Budget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opLeftCell="B2" zoomScaleSheetLayoutView="110" workbookViewId="0"/>
  </sheetViews>
  <sheetFormatPr defaultColWidth="4.28515625" defaultRowHeight="12"/>
  <cols>
    <col min="1" max="1" width="0" style="1" hidden="1" customWidth="1"/>
    <col min="2" max="2" width="4.28515625" style="1"/>
    <col min="3" max="3" width="9.140625" style="1" customWidth="1"/>
    <col min="4" max="4" width="21.85546875" style="1" customWidth="1"/>
    <col min="5" max="5" width="12.7109375" style="1" customWidth="1"/>
    <col min="6" max="6" width="18.28515625" style="1" customWidth="1"/>
    <col min="7" max="7" width="30.5703125" style="1" customWidth="1"/>
    <col min="8" max="254" width="9.140625" style="1" customWidth="1"/>
    <col min="255" max="255" width="0" style="1" hidden="1" customWidth="1"/>
    <col min="256" max="16384" width="4.28515625" style="1"/>
  </cols>
  <sheetData>
    <row r="1" spans="1:7" hidden="1">
      <c r="A1" s="1" t="s">
        <v>0</v>
      </c>
    </row>
    <row r="2" spans="1:7" ht="12.75">
      <c r="B2" s="1395" t="s">
        <v>4</v>
      </c>
      <c r="C2" s="1395"/>
      <c r="D2" s="1395"/>
      <c r="E2" s="1395"/>
      <c r="F2" s="1395"/>
      <c r="G2" s="1395"/>
    </row>
    <row r="4" spans="1:7" ht="15" customHeight="1"/>
    <row r="5" spans="1:7" ht="15" customHeight="1">
      <c r="B5" s="1" t="s">
        <v>5</v>
      </c>
    </row>
    <row r="6" spans="1:7">
      <c r="B6" s="1" t="s">
        <v>6</v>
      </c>
      <c r="E6" s="4" t="s">
        <v>7</v>
      </c>
    </row>
    <row r="7" spans="1:7">
      <c r="E7" s="4" t="s">
        <v>8</v>
      </c>
    </row>
    <row r="8" spans="1:7">
      <c r="E8" s="4"/>
    </row>
    <row r="9" spans="1:7">
      <c r="B9" s="1" t="s">
        <v>9</v>
      </c>
    </row>
    <row r="11" spans="1:7">
      <c r="B11" s="1" t="s">
        <v>10</v>
      </c>
      <c r="E11" s="4" t="s">
        <v>11</v>
      </c>
    </row>
    <row r="12" spans="1:7">
      <c r="B12" s="1" t="s">
        <v>10</v>
      </c>
      <c r="E12" s="4" t="s">
        <v>12</v>
      </c>
    </row>
    <row r="13" spans="1:7">
      <c r="E13" s="4"/>
    </row>
    <row r="14" spans="1:7">
      <c r="E14" s="4"/>
    </row>
    <row r="15" spans="1:7">
      <c r="B15" s="1" t="s">
        <v>13</v>
      </c>
    </row>
    <row r="17" spans="2:2">
      <c r="B17" s="1" t="s">
        <v>14</v>
      </c>
    </row>
    <row r="18" spans="2:2">
      <c r="B18" s="1" t="s">
        <v>15</v>
      </c>
    </row>
    <row r="19" spans="2:2">
      <c r="B19" s="1" t="s">
        <v>16</v>
      </c>
    </row>
    <row r="20" spans="2:2">
      <c r="B20" s="1" t="s">
        <v>17</v>
      </c>
    </row>
    <row r="22" spans="2:2">
      <c r="B22" s="1" t="s">
        <v>18</v>
      </c>
    </row>
    <row r="23" spans="2:2">
      <c r="B23" s="1" t="s">
        <v>19</v>
      </c>
    </row>
    <row r="25" spans="2:2">
      <c r="B25" s="1" t="s">
        <v>20</v>
      </c>
    </row>
    <row r="26" spans="2:2">
      <c r="B26" s="1" t="s">
        <v>21</v>
      </c>
    </row>
    <row r="28" spans="2:2">
      <c r="B28" s="1" t="s">
        <v>22</v>
      </c>
    </row>
    <row r="29" spans="2:2">
      <c r="B29" s="1" t="s">
        <v>23</v>
      </c>
    </row>
    <row r="31" spans="2:2">
      <c r="B31" s="1" t="s">
        <v>24</v>
      </c>
    </row>
    <row r="32" spans="2:2">
      <c r="B32" s="1" t="s">
        <v>25</v>
      </c>
    </row>
    <row r="33" spans="2:2">
      <c r="B33" s="1" t="s">
        <v>26</v>
      </c>
    </row>
    <row r="34" spans="2:2">
      <c r="B34" s="1" t="s">
        <v>27</v>
      </c>
    </row>
    <row r="35" spans="2:2">
      <c r="B35" s="1" t="s">
        <v>28</v>
      </c>
    </row>
    <row r="36" spans="2:2">
      <c r="B36" s="1" t="s">
        <v>29</v>
      </c>
    </row>
    <row r="37" spans="2:2">
      <c r="B37" s="1" t="s">
        <v>30</v>
      </c>
    </row>
  </sheetData>
  <sheetProtection selectLockedCells="1" selectUnlockedCells="1"/>
  <mergeCells count="1">
    <mergeCell ref="B2:G2"/>
  </mergeCells>
  <printOptions horizontalCentered="1"/>
  <pageMargins left="0.75" right="0.75" top="1.5333333333333332" bottom="0.76111111111111107" header="0.4" footer="0.51180555555555551"/>
  <pageSetup firstPageNumber="0" orientation="portrait" horizontalDpi="300" verticalDpi="300"/>
  <headerFooter alignWithMargins="0">
    <oddHeader>&amp;L&amp;"Arial black,Bold"&amp;12HARMONY
Community Development District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27"/>
  </sheetPr>
  <dimension ref="A1:I48"/>
  <sheetViews>
    <sheetView topLeftCell="B8" zoomScale="90" zoomScaleNormal="90" zoomScaleSheetLayoutView="100" workbookViewId="0">
      <pane ySplit="3" topLeftCell="A11" activePane="bottomLeft" state="frozen"/>
      <selection activeCell="B8" sqref="B8"/>
      <selection pane="bottomLeft"/>
    </sheetView>
  </sheetViews>
  <sheetFormatPr defaultRowHeight="12"/>
  <cols>
    <col min="1" max="1" width="0" style="52" hidden="1" customWidth="1"/>
    <col min="2" max="2" width="52.7109375" style="52" customWidth="1"/>
    <col min="3" max="3" width="13.7109375" style="52" customWidth="1"/>
    <col min="4" max="4" width="0.85546875" style="52" customWidth="1"/>
    <col min="5" max="5" width="13.7109375" style="52" customWidth="1"/>
    <col min="6" max="6" width="0.85546875" style="52" customWidth="1"/>
    <col min="7" max="7" width="13.7109375" style="52" customWidth="1"/>
    <col min="8" max="8" width="0.85546875" style="52" customWidth="1"/>
    <col min="9" max="9" width="13.7109375" style="52" customWidth="1"/>
    <col min="10" max="16384" width="9.140625" style="52"/>
  </cols>
  <sheetData>
    <row r="1" spans="1:9" hidden="1">
      <c r="A1" s="52" t="s">
        <v>492</v>
      </c>
      <c r="B1" s="1153"/>
    </row>
    <row r="2" spans="1:9" hidden="1">
      <c r="A2" s="52" t="s">
        <v>493</v>
      </c>
    </row>
    <row r="3" spans="1:9" hidden="1">
      <c r="B3" s="1444" t="s">
        <v>767</v>
      </c>
      <c r="C3" s="1444"/>
      <c r="D3" s="1444"/>
      <c r="E3" s="1444"/>
      <c r="F3" s="1444"/>
      <c r="G3" s="1444"/>
      <c r="H3" s="1444"/>
      <c r="I3" s="1444"/>
    </row>
    <row r="4" spans="1:9" hidden="1">
      <c r="B4" s="1445"/>
      <c r="C4" s="1445"/>
      <c r="D4" s="1445"/>
      <c r="E4" s="1445"/>
      <c r="F4" s="1445"/>
      <c r="G4" s="1445"/>
      <c r="H4" s="1445"/>
    </row>
    <row r="5" spans="1:9" ht="12.75">
      <c r="B5" s="1446" t="str">
        <f>IF(OVERRIDE_DN="",CDD,OVERRIDE_DN)</f>
        <v>Harmony</v>
      </c>
      <c r="C5" s="1446"/>
      <c r="D5" s="1446"/>
      <c r="E5" s="1446"/>
      <c r="F5" s="1446"/>
      <c r="G5" s="1446"/>
      <c r="H5" s="1446"/>
      <c r="I5" s="1446"/>
    </row>
    <row r="6" spans="1:9" ht="12.75">
      <c r="B6" s="1446" t="str">
        <f>IF(OVERRIDE_TYPE="",CDD_NAME,OVERRIDE_TYPE)</f>
        <v>Community Development District</v>
      </c>
      <c r="C6" s="1446"/>
      <c r="D6" s="1446"/>
      <c r="E6" s="1446"/>
      <c r="F6" s="1446"/>
      <c r="G6" s="1446"/>
      <c r="H6" s="1446"/>
      <c r="I6" s="1446"/>
    </row>
    <row r="7" spans="1:9">
      <c r="B7" s="1154"/>
      <c r="C7" s="1153"/>
      <c r="D7" s="1153"/>
      <c r="E7" s="1153"/>
      <c r="F7" s="1153"/>
      <c r="G7" s="1153"/>
      <c r="H7" s="1153"/>
    </row>
    <row r="8" spans="1:9" ht="16.5">
      <c r="B8" s="1447" t="s">
        <v>768</v>
      </c>
      <c r="C8" s="1447"/>
      <c r="D8" s="1447"/>
      <c r="E8" s="1447"/>
      <c r="F8" s="1447"/>
      <c r="G8" s="1447"/>
      <c r="H8" s="1447"/>
      <c r="I8" s="1447"/>
    </row>
    <row r="9" spans="1:9" ht="16.5">
      <c r="B9" s="1448" t="str">
        <f>"Fiscal Year "&amp;Budget_Fiscal_Year</f>
        <v>Fiscal Year 2017</v>
      </c>
      <c r="C9" s="1448"/>
      <c r="D9" s="1448"/>
      <c r="E9" s="1448"/>
      <c r="F9" s="1448"/>
      <c r="G9" s="1448"/>
      <c r="H9" s="1448"/>
      <c r="I9" s="1448"/>
    </row>
    <row r="10" spans="1:9" ht="16.5">
      <c r="B10" s="1448" t="s">
        <v>769</v>
      </c>
      <c r="C10" s="1448"/>
      <c r="D10" s="1448"/>
      <c r="E10" s="1448"/>
      <c r="F10" s="1448"/>
      <c r="G10" s="1448"/>
      <c r="H10" s="1448"/>
      <c r="I10" s="1448"/>
    </row>
    <row r="11" spans="1:9">
      <c r="B11" s="1445"/>
      <c r="C11" s="1445"/>
      <c r="D11" s="1445"/>
      <c r="E11" s="1445"/>
      <c r="F11" s="1445"/>
      <c r="G11" s="1445"/>
      <c r="H11" s="1445"/>
    </row>
    <row r="12" spans="1:9" hidden="1">
      <c r="B12" s="1445"/>
      <c r="C12" s="1445"/>
      <c r="D12" s="1445"/>
      <c r="E12" s="1445"/>
      <c r="F12" s="1445"/>
      <c r="G12" s="1445"/>
      <c r="H12" s="1445"/>
    </row>
    <row r="13" spans="1:9">
      <c r="D13" s="1155"/>
      <c r="E13" s="1156" t="s">
        <v>166</v>
      </c>
      <c r="F13" s="1155"/>
      <c r="G13" s="1156" t="s">
        <v>166</v>
      </c>
      <c r="I13" s="1156" t="s">
        <v>166</v>
      </c>
    </row>
    <row r="14" spans="1:9">
      <c r="C14" s="1157" t="s">
        <v>770</v>
      </c>
      <c r="D14" s="1158"/>
      <c r="E14" s="1157" t="s">
        <v>771</v>
      </c>
      <c r="F14" s="1158"/>
      <c r="G14" s="1157" t="s">
        <v>771</v>
      </c>
      <c r="I14" s="1157" t="s">
        <v>771</v>
      </c>
    </row>
    <row r="15" spans="1:9">
      <c r="D15" s="1155"/>
      <c r="F15" s="1155"/>
    </row>
    <row r="16" spans="1:9">
      <c r="B16" s="679" t="s">
        <v>5</v>
      </c>
      <c r="D16" s="1155"/>
      <c r="F16" s="1155"/>
    </row>
    <row r="17" spans="2:9">
      <c r="B17" s="1159" t="s">
        <v>772</v>
      </c>
      <c r="C17" s="2">
        <f ca="1">C29-C19-C20+C40</f>
        <v>108695.65217391304</v>
      </c>
      <c r="D17" s="2"/>
      <c r="E17" s="2">
        <f ca="1">E29-E19-E20+E40</f>
        <v>0</v>
      </c>
      <c r="F17" s="2"/>
      <c r="G17" s="2">
        <f ca="1">G29-G19-G20+G40</f>
        <v>0</v>
      </c>
      <c r="I17" s="2">
        <f ca="1">I29-I19-I20+I40</f>
        <v>0</v>
      </c>
    </row>
    <row r="18" spans="2:9">
      <c r="B18" s="1159" t="s">
        <v>773</v>
      </c>
      <c r="C18" s="2">
        <v>0</v>
      </c>
      <c r="D18" s="2"/>
      <c r="E18" s="2">
        <v>0</v>
      </c>
      <c r="F18" s="2"/>
      <c r="G18" s="2">
        <v>0</v>
      </c>
      <c r="I18" s="2">
        <v>0</v>
      </c>
    </row>
    <row r="19" spans="2:9">
      <c r="B19" s="1159" t="s">
        <v>774</v>
      </c>
      <c r="C19" s="2">
        <f ca="1">-C17*0.04</f>
        <v>-4347.826086956522</v>
      </c>
      <c r="D19" s="2"/>
      <c r="E19" s="2">
        <f ca="1">-E17*0.04</f>
        <v>0</v>
      </c>
      <c r="F19" s="2"/>
      <c r="G19" s="2">
        <f ca="1">-G17*0.04</f>
        <v>0</v>
      </c>
      <c r="I19" s="2">
        <f ca="1">-I17*0.04</f>
        <v>0</v>
      </c>
    </row>
    <row r="20" spans="2:9">
      <c r="B20" s="1159" t="s">
        <v>775</v>
      </c>
      <c r="C20" s="1160">
        <v>0</v>
      </c>
      <c r="D20" s="2"/>
      <c r="E20" s="1160">
        <v>0</v>
      </c>
      <c r="F20" s="2"/>
      <c r="G20" s="1160">
        <v>0</v>
      </c>
      <c r="I20" s="1160">
        <v>0</v>
      </c>
    </row>
    <row r="21" spans="2:9">
      <c r="B21" s="679" t="s">
        <v>776</v>
      </c>
      <c r="C21" s="1161">
        <f ca="1">SUM(C17:C20)</f>
        <v>104347.82608695651</v>
      </c>
      <c r="D21" s="1162"/>
      <c r="E21" s="1161">
        <f ca="1">SUM(E17:E20)</f>
        <v>0</v>
      </c>
      <c r="F21" s="1162"/>
      <c r="G21" s="1161">
        <f ca="1">SUM(G17:G20)</f>
        <v>0</v>
      </c>
      <c r="I21" s="1161">
        <f ca="1">SUM(I17:I20)</f>
        <v>0</v>
      </c>
    </row>
    <row r="22" spans="2:9">
      <c r="C22" s="2"/>
      <c r="D22" s="2"/>
      <c r="E22" s="2"/>
      <c r="F22" s="2"/>
      <c r="G22" s="2"/>
      <c r="I22" s="2"/>
    </row>
    <row r="23" spans="2:9" ht="8.1" customHeight="1">
      <c r="C23" s="2"/>
      <c r="D23" s="2"/>
      <c r="E23" s="2"/>
      <c r="F23" s="2"/>
      <c r="G23" s="2"/>
      <c r="I23" s="2"/>
    </row>
    <row r="24" spans="2:9">
      <c r="B24" s="679" t="s">
        <v>13</v>
      </c>
      <c r="C24" s="2"/>
      <c r="D24" s="2"/>
      <c r="E24" s="2"/>
      <c r="F24" s="2"/>
      <c r="G24" s="2"/>
      <c r="I24" s="2"/>
    </row>
    <row r="25" spans="2:9">
      <c r="B25" s="1159" t="s">
        <v>777</v>
      </c>
      <c r="C25" s="1160">
        <v>100000</v>
      </c>
      <c r="D25" s="2"/>
      <c r="E25" s="1160">
        <v>0</v>
      </c>
      <c r="F25" s="2"/>
      <c r="G25" s="1160">
        <v>0</v>
      </c>
      <c r="I25" s="1160">
        <v>0</v>
      </c>
    </row>
    <row r="26" spans="2:9">
      <c r="B26" s="1159" t="s">
        <v>778</v>
      </c>
      <c r="C26" s="2">
        <f ca="1">(C17*C31)+C33</f>
        <v>2173.913043478261</v>
      </c>
      <c r="D26" s="2"/>
      <c r="E26" s="2">
        <f t="shared" ref="E26:E27" ca="1" si="0">(E17*E31)+E33</f>
        <v>0</v>
      </c>
      <c r="F26" s="2"/>
      <c r="G26" s="2">
        <f t="shared" ref="G26:G27" ca="1" si="1">(G17*G31)+G33</f>
        <v>0</v>
      </c>
      <c r="I26" s="2">
        <f t="shared" ref="I26:I27" ca="1" si="2">(I17*I31)+I33</f>
        <v>0</v>
      </c>
    </row>
    <row r="27" spans="2:9">
      <c r="B27" s="1159" t="s">
        <v>779</v>
      </c>
      <c r="C27" s="2">
        <f ca="1">(C17*C32)+C34</f>
        <v>2173.913043478261</v>
      </c>
      <c r="D27" s="2"/>
      <c r="E27" s="2">
        <f t="shared" si="0"/>
        <v>0</v>
      </c>
      <c r="F27" s="2"/>
      <c r="G27" s="2">
        <f t="shared" si="1"/>
        <v>0</v>
      </c>
      <c r="I27" s="2">
        <f t="shared" si="2"/>
        <v>0</v>
      </c>
    </row>
    <row r="28" spans="2:9">
      <c r="B28" s="1163" t="s">
        <v>780</v>
      </c>
      <c r="C28" s="1164">
        <v>0</v>
      </c>
      <c r="D28" s="2"/>
      <c r="E28" s="1164">
        <v>0</v>
      </c>
      <c r="F28" s="2"/>
      <c r="G28" s="1164">
        <v>0</v>
      </c>
      <c r="I28" s="1164">
        <v>0</v>
      </c>
    </row>
    <row r="29" spans="2:9">
      <c r="B29" s="679" t="s">
        <v>781</v>
      </c>
      <c r="C29" s="1161">
        <f ca="1">SUM(C25:C28)</f>
        <v>104347.82608695651</v>
      </c>
      <c r="D29" s="1162"/>
      <c r="E29" s="1161">
        <f ca="1">SUM(E25:E28)</f>
        <v>0</v>
      </c>
      <c r="F29" s="1162"/>
      <c r="G29" s="1161">
        <f ca="1">SUM(G25:G28)</f>
        <v>0</v>
      </c>
      <c r="I29" s="1161">
        <f ca="1">SUM(I25:I28)</f>
        <v>0</v>
      </c>
    </row>
    <row r="30" spans="2:9">
      <c r="C30" s="2"/>
      <c r="D30" s="2"/>
      <c r="E30" s="2"/>
      <c r="F30" s="2"/>
      <c r="G30" s="2"/>
      <c r="I30" s="2"/>
    </row>
    <row r="31" spans="2:9">
      <c r="B31" s="1165" t="s">
        <v>782</v>
      </c>
      <c r="C31" s="1166">
        <v>0.02</v>
      </c>
      <c r="D31" s="1167"/>
      <c r="E31" s="1166">
        <v>0</v>
      </c>
      <c r="F31" s="1167"/>
      <c r="G31" s="1166">
        <v>0</v>
      </c>
      <c r="H31" s="1168"/>
      <c r="I31" s="1166">
        <v>0</v>
      </c>
    </row>
    <row r="32" spans="2:9">
      <c r="B32" s="1165" t="s">
        <v>783</v>
      </c>
      <c r="C32" s="1166">
        <v>0.02</v>
      </c>
      <c r="D32" s="1167"/>
      <c r="E32" s="1166">
        <v>0</v>
      </c>
      <c r="F32" s="1167"/>
      <c r="G32" s="1166">
        <v>0</v>
      </c>
      <c r="H32" s="1168"/>
      <c r="I32" s="1166">
        <v>0</v>
      </c>
    </row>
    <row r="33" spans="2:9">
      <c r="B33" s="1165" t="s">
        <v>784</v>
      </c>
      <c r="C33" s="1160">
        <v>0</v>
      </c>
      <c r="D33" s="2"/>
      <c r="E33" s="1160">
        <v>0</v>
      </c>
      <c r="F33" s="2"/>
      <c r="G33" s="1160">
        <v>0</v>
      </c>
      <c r="I33" s="1160">
        <v>0</v>
      </c>
    </row>
    <row r="34" spans="2:9">
      <c r="B34" s="1165" t="s">
        <v>785</v>
      </c>
      <c r="C34" s="1160">
        <v>0</v>
      </c>
      <c r="D34" s="2"/>
      <c r="E34" s="1160">
        <v>0</v>
      </c>
      <c r="F34" s="2"/>
      <c r="G34" s="1160">
        <v>0</v>
      </c>
      <c r="I34" s="1160">
        <v>0</v>
      </c>
    </row>
    <row r="35" spans="2:9">
      <c r="C35" s="2"/>
      <c r="D35" s="2"/>
      <c r="E35" s="2"/>
      <c r="F35" s="2"/>
      <c r="G35" s="2"/>
      <c r="I35" s="2"/>
    </row>
    <row r="36" spans="2:9">
      <c r="B36" s="679" t="s">
        <v>786</v>
      </c>
      <c r="C36" s="2"/>
      <c r="D36" s="2"/>
      <c r="E36" s="2"/>
      <c r="F36" s="2"/>
      <c r="G36" s="2"/>
      <c r="I36" s="2"/>
    </row>
    <row r="37" spans="2:9">
      <c r="B37" s="679" t="s">
        <v>787</v>
      </c>
      <c r="C37" s="1161">
        <f ca="1">C21-C29</f>
        <v>0</v>
      </c>
      <c r="D37" s="1162"/>
      <c r="E37" s="1161">
        <f ca="1">E21-E29</f>
        <v>0</v>
      </c>
      <c r="F37" s="1162"/>
      <c r="G37" s="1161">
        <f ca="1">G21-G29</f>
        <v>0</v>
      </c>
      <c r="I37" s="1161">
        <f ca="1">I21-I29</f>
        <v>0</v>
      </c>
    </row>
    <row r="38" spans="2:9">
      <c r="C38" s="2"/>
      <c r="D38" s="2"/>
      <c r="E38" s="2"/>
      <c r="F38" s="2"/>
      <c r="G38" s="2"/>
      <c r="I38" s="2"/>
    </row>
    <row r="39" spans="2:9">
      <c r="B39" s="679" t="s">
        <v>788</v>
      </c>
      <c r="C39" s="2"/>
      <c r="D39" s="2"/>
      <c r="E39" s="2"/>
      <c r="F39" s="2"/>
      <c r="G39" s="2"/>
      <c r="I39" s="2"/>
    </row>
    <row r="40" spans="2:9">
      <c r="B40" s="1163" t="s">
        <v>789</v>
      </c>
      <c r="C40" s="1164">
        <v>0</v>
      </c>
      <c r="D40" s="2"/>
      <c r="E40" s="1164">
        <v>0</v>
      </c>
      <c r="F40" s="2"/>
      <c r="G40" s="1164">
        <v>0</v>
      </c>
      <c r="I40" s="1164">
        <v>0</v>
      </c>
    </row>
    <row r="41" spans="2:9">
      <c r="B41" s="1169" t="s">
        <v>790</v>
      </c>
      <c r="C41" s="1160">
        <v>0</v>
      </c>
      <c r="D41" s="2"/>
      <c r="E41" s="1160">
        <v>0</v>
      </c>
      <c r="F41" s="2"/>
      <c r="G41" s="1160">
        <v>0</v>
      </c>
      <c r="I41" s="1160">
        <v>0</v>
      </c>
    </row>
    <row r="42" spans="2:9">
      <c r="B42" s="1169" t="str">
        <f>"Reserves - FY "&amp;Budget_Fiscal_Year&amp;" Budget"</f>
        <v>Reserves - FY 2017 Budget</v>
      </c>
      <c r="C42" s="1160">
        <v>0</v>
      </c>
      <c r="D42" s="2"/>
      <c r="E42" s="1160">
        <v>0</v>
      </c>
      <c r="F42" s="2"/>
      <c r="G42" s="1160">
        <v>0</v>
      </c>
      <c r="I42" s="1160">
        <v>0</v>
      </c>
    </row>
    <row r="43" spans="2:9">
      <c r="B43" s="1159" t="s">
        <v>791</v>
      </c>
      <c r="C43" s="1160">
        <v>0</v>
      </c>
      <c r="D43" s="2"/>
      <c r="E43" s="1160">
        <v>0</v>
      </c>
      <c r="F43" s="2"/>
      <c r="G43" s="1160">
        <v>0</v>
      </c>
      <c r="I43" s="1160">
        <v>0</v>
      </c>
    </row>
    <row r="44" spans="2:9">
      <c r="C44" s="2"/>
      <c r="D44" s="2"/>
      <c r="E44" s="2"/>
      <c r="F44" s="2"/>
      <c r="G44" s="2"/>
      <c r="I44" s="2"/>
    </row>
    <row r="45" spans="2:9">
      <c r="B45" s="1170" t="s">
        <v>792</v>
      </c>
      <c r="C45" s="2">
        <f ca="1">C37+C41+C43</f>
        <v>0</v>
      </c>
      <c r="D45" s="2"/>
      <c r="E45" s="2">
        <f ca="1">E37+E41+E43</f>
        <v>0</v>
      </c>
      <c r="F45" s="2"/>
      <c r="G45" s="2">
        <f ca="1">G37+G41+G43</f>
        <v>0</v>
      </c>
      <c r="I45" s="2">
        <f ca="1">I37+I41+I43</f>
        <v>0</v>
      </c>
    </row>
    <row r="46" spans="2:9" ht="8.1" customHeight="1">
      <c r="B46" s="1170"/>
      <c r="C46" s="2"/>
      <c r="D46" s="2"/>
      <c r="E46" s="2"/>
      <c r="F46" s="2"/>
      <c r="G46" s="2"/>
      <c r="I46" s="2"/>
    </row>
    <row r="47" spans="2:9">
      <c r="B47" s="1159" t="s">
        <v>793</v>
      </c>
      <c r="C47" s="1160">
        <v>0</v>
      </c>
      <c r="D47" s="2"/>
      <c r="E47" s="1160"/>
      <c r="F47" s="2"/>
      <c r="G47" s="1160"/>
      <c r="I47" s="1160"/>
    </row>
    <row r="48" spans="2:9">
      <c r="B48" s="1159" t="s">
        <v>794</v>
      </c>
      <c r="C48" s="1171">
        <f ca="1">C47+C45</f>
        <v>0</v>
      </c>
      <c r="D48" s="2"/>
      <c r="E48" s="1171">
        <f ca="1">E47+E45</f>
        <v>0</v>
      </c>
      <c r="F48" s="2"/>
      <c r="G48" s="1171">
        <f ca="1">G47+G45</f>
        <v>0</v>
      </c>
      <c r="I48" s="1171">
        <f ca="1">I47+I45</f>
        <v>0</v>
      </c>
    </row>
  </sheetData>
  <sheetProtection selectLockedCells="1" selectUnlockedCells="1"/>
  <mergeCells count="9">
    <mergeCell ref="B10:I10"/>
    <mergeCell ref="B11:H11"/>
    <mergeCell ref="B12:H12"/>
    <mergeCell ref="B3:I3"/>
    <mergeCell ref="B4:H4"/>
    <mergeCell ref="B5:I5"/>
    <mergeCell ref="B6:I6"/>
    <mergeCell ref="B8:I8"/>
    <mergeCell ref="B9:I9"/>
  </mergeCells>
  <printOptions horizontalCentered="1"/>
  <pageMargins left="0.75" right="0.75" top="1.6166666666666667" bottom="1.1777777777777776" header="0.4" footer="0.35"/>
  <pageSetup scale="80" firstPageNumber="0" orientation="portrait" horizontalDpi="300" verticalDpi="300"/>
  <headerFooter alignWithMargins="0">
    <oddHeader>&amp;L&amp;"Arial black,Bold"&amp;15HARMONY
Community Development District</oddHeader>
    <oddFooter>&amp;L     Fiscal Year 2017
     Annual Operating and Debt Service Budget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R148"/>
  <sheetViews>
    <sheetView workbookViewId="0"/>
  </sheetViews>
  <sheetFormatPr defaultRowHeight="12.75"/>
  <sheetData>
    <row r="1" spans="1:18">
      <c r="A1" t="s">
        <v>795</v>
      </c>
      <c r="B1" t="s">
        <v>53</v>
      </c>
      <c r="C1" t="s">
        <v>31</v>
      </c>
      <c r="D1" t="s">
        <v>31</v>
      </c>
      <c r="E1" t="s">
        <v>31</v>
      </c>
      <c r="F1" t="s">
        <v>31</v>
      </c>
      <c r="G1" t="s">
        <v>796</v>
      </c>
      <c r="H1" t="s">
        <v>797</v>
      </c>
      <c r="I1" t="s">
        <v>597</v>
      </c>
      <c r="J1" t="s">
        <v>598</v>
      </c>
      <c r="K1" t="s">
        <v>31</v>
      </c>
      <c r="L1" t="s">
        <v>31</v>
      </c>
      <c r="M1" t="s">
        <v>31</v>
      </c>
      <c r="R1" t="s">
        <v>31</v>
      </c>
    </row>
    <row r="2" spans="1:18">
      <c r="A2" t="s">
        <v>53</v>
      </c>
      <c r="B2" t="s">
        <v>798</v>
      </c>
      <c r="D2" t="s">
        <v>55</v>
      </c>
      <c r="F2" t="s">
        <v>600</v>
      </c>
      <c r="I2" t="s">
        <v>601</v>
      </c>
      <c r="N2" t="s">
        <v>799</v>
      </c>
      <c r="O2" t="s">
        <v>800</v>
      </c>
      <c r="P2" t="s">
        <v>31</v>
      </c>
      <c r="Q2" t="s">
        <v>801</v>
      </c>
    </row>
    <row r="3" spans="1:18">
      <c r="A3" t="s">
        <v>31</v>
      </c>
      <c r="B3" t="s">
        <v>602</v>
      </c>
      <c r="C3" t="s">
        <v>802</v>
      </c>
      <c r="D3" t="s">
        <v>803</v>
      </c>
      <c r="E3" t="s">
        <v>604</v>
      </c>
      <c r="F3" t="s">
        <v>804</v>
      </c>
      <c r="I3" t="s">
        <v>805</v>
      </c>
    </row>
    <row r="4" spans="1:18">
      <c r="A4" t="s">
        <v>31</v>
      </c>
      <c r="B4" t="s">
        <v>605</v>
      </c>
      <c r="C4" t="s">
        <v>806</v>
      </c>
      <c r="D4" t="s">
        <v>807</v>
      </c>
      <c r="E4" t="s">
        <v>606</v>
      </c>
      <c r="F4" t="s">
        <v>92</v>
      </c>
      <c r="I4" t="s">
        <v>607</v>
      </c>
    </row>
    <row r="5" spans="1:18">
      <c r="A5" t="s">
        <v>31</v>
      </c>
      <c r="B5" t="s">
        <v>608</v>
      </c>
      <c r="C5" t="s">
        <v>808</v>
      </c>
      <c r="D5" t="s">
        <v>59</v>
      </c>
      <c r="E5" t="s">
        <v>609</v>
      </c>
      <c r="F5" t="s">
        <v>809</v>
      </c>
      <c r="I5" t="s">
        <v>275</v>
      </c>
    </row>
    <row r="6" spans="1:18">
      <c r="A6" t="s">
        <v>31</v>
      </c>
      <c r="C6" t="s">
        <v>810</v>
      </c>
      <c r="D6" t="s">
        <v>811</v>
      </c>
      <c r="E6" t="s">
        <v>812</v>
      </c>
      <c r="F6" t="s">
        <v>274</v>
      </c>
      <c r="I6" t="s">
        <v>263</v>
      </c>
    </row>
    <row r="7" spans="1:18">
      <c r="A7" t="s">
        <v>31</v>
      </c>
      <c r="C7" t="s">
        <v>813</v>
      </c>
      <c r="D7" t="s">
        <v>814</v>
      </c>
      <c r="E7" t="s">
        <v>815</v>
      </c>
      <c r="I7" t="s">
        <v>610</v>
      </c>
    </row>
    <row r="8" spans="1:18">
      <c r="A8" t="s">
        <v>31</v>
      </c>
      <c r="C8" t="s">
        <v>816</v>
      </c>
      <c r="D8" t="s">
        <v>817</v>
      </c>
      <c r="E8" t="s">
        <v>818</v>
      </c>
      <c r="I8" t="s">
        <v>65</v>
      </c>
    </row>
    <row r="9" spans="1:18">
      <c r="A9" t="s">
        <v>31</v>
      </c>
      <c r="C9" t="s">
        <v>819</v>
      </c>
      <c r="D9" t="s">
        <v>820</v>
      </c>
      <c r="E9" t="s">
        <v>821</v>
      </c>
      <c r="I9" t="s">
        <v>611</v>
      </c>
      <c r="N9" t="s">
        <v>822</v>
      </c>
      <c r="Q9" t="s">
        <v>823</v>
      </c>
    </row>
    <row r="10" spans="1:18">
      <c r="A10" t="s">
        <v>31</v>
      </c>
      <c r="C10" t="s">
        <v>612</v>
      </c>
      <c r="E10" t="s">
        <v>824</v>
      </c>
      <c r="I10" t="s">
        <v>613</v>
      </c>
      <c r="N10" t="s">
        <v>825</v>
      </c>
    </row>
    <row r="11" spans="1:18">
      <c r="A11" t="s">
        <v>31</v>
      </c>
      <c r="B11" t="s">
        <v>614</v>
      </c>
      <c r="C11" t="s">
        <v>826</v>
      </c>
      <c r="N11" t="s">
        <v>827</v>
      </c>
    </row>
    <row r="12" spans="1:18">
      <c r="A12" t="s">
        <v>493</v>
      </c>
      <c r="C12" t="s">
        <v>828</v>
      </c>
      <c r="E12" t="s">
        <v>829</v>
      </c>
    </row>
    <row r="13" spans="1:18">
      <c r="A13" t="s">
        <v>493</v>
      </c>
      <c r="C13" t="s">
        <v>830</v>
      </c>
    </row>
    <row r="14" spans="1:18">
      <c r="A14" t="s">
        <v>493</v>
      </c>
    </row>
    <row r="15" spans="1:18">
      <c r="A15" t="s">
        <v>63</v>
      </c>
      <c r="G15" t="s">
        <v>615</v>
      </c>
      <c r="I15" t="s">
        <v>300</v>
      </c>
      <c r="M15" t="s">
        <v>831</v>
      </c>
      <c r="N15" t="s">
        <v>832</v>
      </c>
      <c r="Q15" t="s">
        <v>289</v>
      </c>
    </row>
    <row r="16" spans="1:18">
      <c r="M16" t="s">
        <v>833</v>
      </c>
    </row>
    <row r="17" spans="2:18">
      <c r="B17" t="s">
        <v>493</v>
      </c>
      <c r="D17" t="s">
        <v>71</v>
      </c>
    </row>
    <row r="18" spans="2:18">
      <c r="B18" t="s">
        <v>834</v>
      </c>
      <c r="C18" t="s">
        <v>619</v>
      </c>
      <c r="I18" t="s">
        <v>835</v>
      </c>
    </row>
    <row r="19" spans="2:18">
      <c r="B19" t="s">
        <v>836</v>
      </c>
    </row>
    <row r="20" spans="2:18">
      <c r="B20" t="s">
        <v>836</v>
      </c>
      <c r="I20" t="s">
        <v>620</v>
      </c>
    </row>
    <row r="21" spans="2:18">
      <c r="B21" t="s">
        <v>62</v>
      </c>
      <c r="D21" t="s">
        <v>621</v>
      </c>
      <c r="G21" t="s">
        <v>622</v>
      </c>
      <c r="I21" t="s">
        <v>837</v>
      </c>
      <c r="N21" t="s">
        <v>838</v>
      </c>
      <c r="Q21" t="s">
        <v>839</v>
      </c>
      <c r="R21" t="s">
        <v>840</v>
      </c>
    </row>
    <row r="22" spans="2:18">
      <c r="B22" t="s">
        <v>841</v>
      </c>
      <c r="G22" t="s">
        <v>842</v>
      </c>
      <c r="I22" t="s">
        <v>843</v>
      </c>
      <c r="N22" t="s">
        <v>844</v>
      </c>
      <c r="Q22" t="s">
        <v>845</v>
      </c>
      <c r="R22" t="s">
        <v>846</v>
      </c>
    </row>
    <row r="23" spans="2:18">
      <c r="B23" t="s">
        <v>31</v>
      </c>
      <c r="C23" t="s">
        <v>635</v>
      </c>
      <c r="D23" t="s">
        <v>636</v>
      </c>
    </row>
    <row r="24" spans="2:18">
      <c r="B24" t="s">
        <v>31</v>
      </c>
      <c r="G24" t="s">
        <v>847</v>
      </c>
      <c r="I24" t="s">
        <v>848</v>
      </c>
      <c r="N24" t="s">
        <v>849</v>
      </c>
      <c r="Q24" t="s">
        <v>850</v>
      </c>
      <c r="R24" t="s">
        <v>851</v>
      </c>
    </row>
    <row r="25" spans="2:18">
      <c r="B25" t="s">
        <v>31</v>
      </c>
    </row>
    <row r="26" spans="2:18">
      <c r="B26" t="s">
        <v>31</v>
      </c>
      <c r="G26" t="s">
        <v>637</v>
      </c>
      <c r="I26" t="s">
        <v>638</v>
      </c>
      <c r="N26" t="s">
        <v>852</v>
      </c>
      <c r="P26" t="s">
        <v>853</v>
      </c>
      <c r="Q26" t="s">
        <v>854</v>
      </c>
      <c r="R26" t="s">
        <v>855</v>
      </c>
    </row>
    <row r="27" spans="2:18">
      <c r="B27" t="s">
        <v>856</v>
      </c>
      <c r="G27" t="s">
        <v>637</v>
      </c>
      <c r="I27" t="s">
        <v>638</v>
      </c>
      <c r="N27" t="s">
        <v>857</v>
      </c>
      <c r="Q27" t="s">
        <v>858</v>
      </c>
      <c r="R27" t="s">
        <v>859</v>
      </c>
    </row>
    <row r="28" spans="2:18">
      <c r="B28" t="s">
        <v>860</v>
      </c>
      <c r="C28" t="s">
        <v>648</v>
      </c>
      <c r="D28" t="s">
        <v>649</v>
      </c>
      <c r="G28" t="s">
        <v>649</v>
      </c>
      <c r="I28" t="s">
        <v>650</v>
      </c>
    </row>
    <row r="29" spans="2:18">
      <c r="B29" t="s">
        <v>861</v>
      </c>
      <c r="G29" t="s">
        <v>862</v>
      </c>
      <c r="I29" t="s">
        <v>863</v>
      </c>
      <c r="N29" t="s">
        <v>864</v>
      </c>
      <c r="Q29" t="s">
        <v>865</v>
      </c>
      <c r="R29" t="s">
        <v>866</v>
      </c>
    </row>
    <row r="30" spans="2:18">
      <c r="B30" t="s">
        <v>867</v>
      </c>
      <c r="C30" t="s">
        <v>651</v>
      </c>
      <c r="D30" t="s">
        <v>652</v>
      </c>
      <c r="F30" t="s">
        <v>653</v>
      </c>
      <c r="G30" t="s">
        <v>652</v>
      </c>
      <c r="I30" t="s">
        <v>654</v>
      </c>
    </row>
    <row r="31" spans="2:18">
      <c r="B31" t="s">
        <v>868</v>
      </c>
      <c r="G31" t="s">
        <v>869</v>
      </c>
      <c r="I31" t="s">
        <v>870</v>
      </c>
      <c r="N31" t="s">
        <v>871</v>
      </c>
      <c r="Q31" t="s">
        <v>872</v>
      </c>
      <c r="R31" t="s">
        <v>873</v>
      </c>
    </row>
    <row r="32" spans="2:18">
      <c r="B32" t="s">
        <v>237</v>
      </c>
      <c r="F32" t="s">
        <v>662</v>
      </c>
    </row>
    <row r="33" spans="2:18">
      <c r="B33" t="s">
        <v>874</v>
      </c>
      <c r="G33" t="s">
        <v>875</v>
      </c>
      <c r="I33" t="s">
        <v>876</v>
      </c>
      <c r="N33" t="s">
        <v>877</v>
      </c>
      <c r="Q33" t="s">
        <v>878</v>
      </c>
      <c r="R33" t="s">
        <v>879</v>
      </c>
    </row>
    <row r="34" spans="2:18">
      <c r="B34" t="s">
        <v>31</v>
      </c>
      <c r="C34" t="s">
        <v>671</v>
      </c>
      <c r="D34" t="s">
        <v>672</v>
      </c>
    </row>
    <row r="35" spans="2:18">
      <c r="B35" t="s">
        <v>880</v>
      </c>
      <c r="G35" t="s">
        <v>881</v>
      </c>
      <c r="I35" t="s">
        <v>882</v>
      </c>
      <c r="N35" t="s">
        <v>883</v>
      </c>
      <c r="Q35" t="s">
        <v>884</v>
      </c>
      <c r="R35" t="s">
        <v>885</v>
      </c>
    </row>
    <row r="36" spans="2:18">
      <c r="B36" t="s">
        <v>836</v>
      </c>
    </row>
    <row r="37" spans="2:18">
      <c r="B37" t="s">
        <v>836</v>
      </c>
      <c r="I37" t="s">
        <v>676</v>
      </c>
      <c r="N37" t="s">
        <v>886</v>
      </c>
      <c r="Q37" t="s">
        <v>887</v>
      </c>
      <c r="R37" t="s">
        <v>888</v>
      </c>
    </row>
    <row r="38" spans="2:18">
      <c r="B38" t="s">
        <v>836</v>
      </c>
    </row>
    <row r="39" spans="2:18">
      <c r="B39" t="s">
        <v>836</v>
      </c>
      <c r="I39" t="s">
        <v>677</v>
      </c>
    </row>
    <row r="40" spans="2:18">
      <c r="B40" t="s">
        <v>889</v>
      </c>
      <c r="C40" t="s">
        <v>678</v>
      </c>
      <c r="D40" t="s">
        <v>679</v>
      </c>
      <c r="I40" t="s">
        <v>680</v>
      </c>
    </row>
    <row r="41" spans="2:18">
      <c r="B41" t="s">
        <v>890</v>
      </c>
      <c r="G41" t="s">
        <v>891</v>
      </c>
      <c r="I41" t="s">
        <v>892</v>
      </c>
      <c r="N41" t="s">
        <v>893</v>
      </c>
      <c r="Q41" t="s">
        <v>894</v>
      </c>
      <c r="R41" t="s">
        <v>895</v>
      </c>
    </row>
    <row r="42" spans="2:18">
      <c r="B42" t="s">
        <v>31</v>
      </c>
    </row>
    <row r="43" spans="2:18">
      <c r="B43" t="s">
        <v>31</v>
      </c>
      <c r="C43" t="s">
        <v>683</v>
      </c>
      <c r="D43" t="s">
        <v>684</v>
      </c>
    </row>
    <row r="44" spans="2:18">
      <c r="B44" t="s">
        <v>896</v>
      </c>
      <c r="G44" t="s">
        <v>897</v>
      </c>
      <c r="I44" t="s">
        <v>898</v>
      </c>
      <c r="N44" t="s">
        <v>899</v>
      </c>
      <c r="Q44" t="s">
        <v>900</v>
      </c>
      <c r="R44" t="s">
        <v>901</v>
      </c>
    </row>
    <row r="45" spans="2:18">
      <c r="B45" t="s">
        <v>836</v>
      </c>
    </row>
    <row r="46" spans="2:18">
      <c r="B46" t="s">
        <v>836</v>
      </c>
      <c r="I46" t="s">
        <v>688</v>
      </c>
      <c r="N46" t="s">
        <v>902</v>
      </c>
      <c r="Q46" t="s">
        <v>903</v>
      </c>
      <c r="R46" t="s">
        <v>904</v>
      </c>
    </row>
    <row r="47" spans="2:18">
      <c r="B47" t="s">
        <v>62</v>
      </c>
    </row>
    <row r="48" spans="2:18">
      <c r="B48" t="s">
        <v>834</v>
      </c>
      <c r="I48" t="s">
        <v>689</v>
      </c>
      <c r="N48" t="s">
        <v>905</v>
      </c>
      <c r="Q48" t="s">
        <v>906</v>
      </c>
      <c r="R48" t="s">
        <v>907</v>
      </c>
    </row>
    <row r="49" spans="2:18">
      <c r="B49" t="s">
        <v>62</v>
      </c>
    </row>
    <row r="50" spans="2:18">
      <c r="B50" t="s">
        <v>493</v>
      </c>
      <c r="D50" t="s">
        <v>72</v>
      </c>
    </row>
    <row r="51" spans="2:18">
      <c r="B51" t="s">
        <v>493</v>
      </c>
      <c r="I51" t="s">
        <v>690</v>
      </c>
    </row>
    <row r="52" spans="2:18">
      <c r="B52" t="s">
        <v>493</v>
      </c>
    </row>
    <row r="53" spans="2:18">
      <c r="B53" t="s">
        <v>908</v>
      </c>
      <c r="C53" t="s">
        <v>691</v>
      </c>
      <c r="I53" t="s">
        <v>692</v>
      </c>
    </row>
    <row r="54" spans="2:18">
      <c r="B54" t="s">
        <v>836</v>
      </c>
    </row>
    <row r="55" spans="2:18">
      <c r="B55" t="s">
        <v>836</v>
      </c>
      <c r="I55" t="s">
        <v>693</v>
      </c>
    </row>
    <row r="56" spans="2:18">
      <c r="B56" t="s">
        <v>694</v>
      </c>
      <c r="D56" t="s">
        <v>695</v>
      </c>
      <c r="G56" t="s">
        <v>909</v>
      </c>
      <c r="I56" t="s">
        <v>910</v>
      </c>
      <c r="N56" t="s">
        <v>911</v>
      </c>
      <c r="Q56" t="s">
        <v>912</v>
      </c>
      <c r="R56" t="s">
        <v>913</v>
      </c>
    </row>
    <row r="57" spans="2:18">
      <c r="B57" t="s">
        <v>914</v>
      </c>
      <c r="G57" t="s">
        <v>915</v>
      </c>
      <c r="I57" t="s">
        <v>916</v>
      </c>
      <c r="N57" t="s">
        <v>917</v>
      </c>
      <c r="Q57" t="s">
        <v>918</v>
      </c>
      <c r="R57" t="s">
        <v>919</v>
      </c>
    </row>
    <row r="58" spans="2:18">
      <c r="B58" t="s">
        <v>920</v>
      </c>
      <c r="G58" t="s">
        <v>921</v>
      </c>
      <c r="I58" t="s">
        <v>647</v>
      </c>
      <c r="N58" t="s">
        <v>922</v>
      </c>
      <c r="Q58" t="s">
        <v>923</v>
      </c>
      <c r="R58" t="s">
        <v>924</v>
      </c>
    </row>
    <row r="59" spans="2:18">
      <c r="B59" t="s">
        <v>836</v>
      </c>
    </row>
    <row r="60" spans="2:18">
      <c r="B60" t="s">
        <v>836</v>
      </c>
      <c r="I60" t="s">
        <v>705</v>
      </c>
      <c r="N60" t="s">
        <v>925</v>
      </c>
      <c r="Q60" t="s">
        <v>926</v>
      </c>
      <c r="R60" t="s">
        <v>927</v>
      </c>
    </row>
    <row r="61" spans="2:18">
      <c r="B61" t="s">
        <v>836</v>
      </c>
    </row>
    <row r="62" spans="2:18">
      <c r="B62" t="s">
        <v>836</v>
      </c>
      <c r="I62" t="s">
        <v>706</v>
      </c>
    </row>
    <row r="63" spans="2:18">
      <c r="B63" t="s">
        <v>928</v>
      </c>
      <c r="C63" t="s">
        <v>691</v>
      </c>
      <c r="D63" t="s">
        <v>707</v>
      </c>
      <c r="G63" t="s">
        <v>929</v>
      </c>
      <c r="I63" t="s">
        <v>930</v>
      </c>
      <c r="N63" t="s">
        <v>931</v>
      </c>
      <c r="Q63" t="s">
        <v>932</v>
      </c>
      <c r="R63" t="s">
        <v>933</v>
      </c>
    </row>
    <row r="64" spans="2:18">
      <c r="B64" t="s">
        <v>836</v>
      </c>
    </row>
    <row r="65" spans="2:18">
      <c r="B65" t="s">
        <v>836</v>
      </c>
      <c r="I65" t="s">
        <v>708</v>
      </c>
      <c r="N65" t="s">
        <v>934</v>
      </c>
      <c r="Q65" t="s">
        <v>935</v>
      </c>
      <c r="R65" t="s">
        <v>936</v>
      </c>
    </row>
    <row r="66" spans="2:18">
      <c r="B66" t="s">
        <v>694</v>
      </c>
    </row>
    <row r="67" spans="2:18">
      <c r="B67" t="s">
        <v>694</v>
      </c>
      <c r="I67" t="s">
        <v>709</v>
      </c>
      <c r="N67" t="s">
        <v>937</v>
      </c>
      <c r="Q67" t="s">
        <v>938</v>
      </c>
      <c r="R67" t="s">
        <v>939</v>
      </c>
    </row>
    <row r="68" spans="2:18">
      <c r="B68" t="s">
        <v>694</v>
      </c>
    </row>
    <row r="69" spans="2:18">
      <c r="B69" t="s">
        <v>493</v>
      </c>
      <c r="D69" t="s">
        <v>710</v>
      </c>
      <c r="E69" t="s">
        <v>711</v>
      </c>
    </row>
    <row r="70" spans="2:18">
      <c r="B70" t="s">
        <v>940</v>
      </c>
      <c r="C70" t="s">
        <v>712</v>
      </c>
      <c r="I70" t="s">
        <v>941</v>
      </c>
      <c r="R70" t="s">
        <v>942</v>
      </c>
    </row>
    <row r="71" spans="2:18">
      <c r="B71" t="s">
        <v>943</v>
      </c>
      <c r="D71" t="s">
        <v>710</v>
      </c>
      <c r="R71" t="s">
        <v>944</v>
      </c>
    </row>
    <row r="72" spans="2:18">
      <c r="B72" t="s">
        <v>943</v>
      </c>
      <c r="D72" t="s">
        <v>713</v>
      </c>
      <c r="I72" t="s">
        <v>712</v>
      </c>
      <c r="R72" t="s">
        <v>945</v>
      </c>
    </row>
    <row r="73" spans="2:18">
      <c r="B73" t="s">
        <v>946</v>
      </c>
      <c r="G73" t="s">
        <v>947</v>
      </c>
      <c r="I73" t="s">
        <v>714</v>
      </c>
      <c r="M73" t="s">
        <v>948</v>
      </c>
      <c r="N73" t="s">
        <v>949</v>
      </c>
      <c r="Q73" t="s">
        <v>950</v>
      </c>
      <c r="R73" t="s">
        <v>951</v>
      </c>
    </row>
    <row r="74" spans="2:18">
      <c r="B74" t="s">
        <v>952</v>
      </c>
      <c r="G74" t="s">
        <v>953</v>
      </c>
      <c r="I74" t="s">
        <v>715</v>
      </c>
      <c r="M74" t="s">
        <v>954</v>
      </c>
      <c r="N74" t="s">
        <v>955</v>
      </c>
      <c r="Q74" t="s">
        <v>956</v>
      </c>
      <c r="R74" t="s">
        <v>957</v>
      </c>
    </row>
    <row r="75" spans="2:18">
      <c r="B75" t="s">
        <v>958</v>
      </c>
      <c r="G75" t="s">
        <v>953</v>
      </c>
      <c r="I75" t="s">
        <v>716</v>
      </c>
      <c r="M75" t="s">
        <v>959</v>
      </c>
      <c r="N75" t="s">
        <v>960</v>
      </c>
      <c r="Q75" t="s">
        <v>961</v>
      </c>
      <c r="R75" t="s">
        <v>962</v>
      </c>
    </row>
    <row r="76" spans="2:18">
      <c r="B76" t="s">
        <v>963</v>
      </c>
      <c r="D76" t="s">
        <v>710</v>
      </c>
      <c r="G76" t="s">
        <v>964</v>
      </c>
      <c r="I76" t="s">
        <v>965</v>
      </c>
      <c r="M76" t="s">
        <v>966</v>
      </c>
      <c r="N76" t="s">
        <v>967</v>
      </c>
      <c r="Q76" t="s">
        <v>968</v>
      </c>
      <c r="R76" t="s">
        <v>969</v>
      </c>
    </row>
    <row r="77" spans="2:18">
      <c r="B77" t="s">
        <v>493</v>
      </c>
    </row>
    <row r="78" spans="2:18">
      <c r="B78" t="s">
        <v>970</v>
      </c>
      <c r="G78" t="s">
        <v>971</v>
      </c>
      <c r="I78" t="s">
        <v>724</v>
      </c>
      <c r="M78" t="s">
        <v>972</v>
      </c>
      <c r="N78" t="s">
        <v>973</v>
      </c>
      <c r="Q78" t="s">
        <v>974</v>
      </c>
      <c r="R78" t="s">
        <v>975</v>
      </c>
    </row>
    <row r="79" spans="2:18">
      <c r="B79" t="s">
        <v>976</v>
      </c>
    </row>
    <row r="80" spans="2:18">
      <c r="D80" t="s">
        <v>725</v>
      </c>
      <c r="I80" t="s">
        <v>726</v>
      </c>
    </row>
    <row r="81" spans="4:18">
      <c r="G81" t="s">
        <v>977</v>
      </c>
      <c r="I81" t="s">
        <v>978</v>
      </c>
      <c r="M81" t="s">
        <v>979</v>
      </c>
      <c r="N81" t="s">
        <v>980</v>
      </c>
      <c r="Q81" t="s">
        <v>981</v>
      </c>
      <c r="R81" t="s">
        <v>982</v>
      </c>
    </row>
    <row r="83" spans="4:18">
      <c r="I83" t="s">
        <v>727</v>
      </c>
      <c r="N83" t="s">
        <v>983</v>
      </c>
      <c r="Q83" t="s">
        <v>984</v>
      </c>
      <c r="R83" t="s">
        <v>985</v>
      </c>
    </row>
    <row r="84" spans="4:18">
      <c r="D84" t="s">
        <v>728</v>
      </c>
      <c r="I84" t="s">
        <v>729</v>
      </c>
    </row>
    <row r="85" spans="4:18">
      <c r="G85" t="s">
        <v>986</v>
      </c>
      <c r="I85" t="s">
        <v>166</v>
      </c>
      <c r="M85" t="s">
        <v>948</v>
      </c>
      <c r="N85" t="s">
        <v>987</v>
      </c>
      <c r="Q85" t="s">
        <v>988</v>
      </c>
      <c r="R85" t="s">
        <v>989</v>
      </c>
    </row>
    <row r="86" spans="4:18">
      <c r="G86" t="s">
        <v>990</v>
      </c>
      <c r="I86" t="s">
        <v>730</v>
      </c>
      <c r="M86" t="s">
        <v>954</v>
      </c>
      <c r="N86" t="s">
        <v>991</v>
      </c>
      <c r="Q86" t="s">
        <v>992</v>
      </c>
      <c r="R86" t="s">
        <v>993</v>
      </c>
    </row>
    <row r="87" spans="4:18">
      <c r="G87" t="s">
        <v>994</v>
      </c>
      <c r="I87" t="s">
        <v>731</v>
      </c>
      <c r="M87" t="s">
        <v>959</v>
      </c>
      <c r="N87" t="s">
        <v>995</v>
      </c>
      <c r="Q87" t="s">
        <v>996</v>
      </c>
      <c r="R87" t="s">
        <v>997</v>
      </c>
    </row>
    <row r="89" spans="4:18">
      <c r="D89" t="s">
        <v>710</v>
      </c>
      <c r="G89" t="s">
        <v>998</v>
      </c>
      <c r="I89" t="s">
        <v>999</v>
      </c>
      <c r="M89" t="s">
        <v>966</v>
      </c>
      <c r="N89" t="s">
        <v>1000</v>
      </c>
      <c r="Q89" t="s">
        <v>1001</v>
      </c>
      <c r="R89" t="s">
        <v>1002</v>
      </c>
    </row>
    <row r="91" spans="4:18">
      <c r="I91" t="s">
        <v>732</v>
      </c>
      <c r="N91" t="s">
        <v>1003</v>
      </c>
      <c r="Q91" t="s">
        <v>1004</v>
      </c>
      <c r="R91" t="s">
        <v>1005</v>
      </c>
    </row>
    <row r="92" spans="4:18">
      <c r="D92" t="s">
        <v>733</v>
      </c>
      <c r="I92" t="s">
        <v>734</v>
      </c>
    </row>
    <row r="93" spans="4:18">
      <c r="G93" t="s">
        <v>1006</v>
      </c>
      <c r="I93" t="s">
        <v>1007</v>
      </c>
      <c r="M93" t="s">
        <v>979</v>
      </c>
      <c r="N93" t="s">
        <v>1008</v>
      </c>
      <c r="Q93" t="s">
        <v>1009</v>
      </c>
      <c r="R93" t="s">
        <v>1010</v>
      </c>
    </row>
    <row r="95" spans="4:18">
      <c r="I95" t="s">
        <v>735</v>
      </c>
      <c r="N95" t="s">
        <v>1011</v>
      </c>
      <c r="Q95" t="s">
        <v>1012</v>
      </c>
      <c r="R95" t="s">
        <v>1013</v>
      </c>
    </row>
    <row r="96" spans="4:18">
      <c r="D96" t="s">
        <v>736</v>
      </c>
      <c r="I96" t="s">
        <v>737</v>
      </c>
    </row>
    <row r="97" spans="2:18">
      <c r="G97" t="s">
        <v>1014</v>
      </c>
      <c r="I97" t="s">
        <v>1015</v>
      </c>
      <c r="M97" t="s">
        <v>979</v>
      </c>
      <c r="N97" t="s">
        <v>1016</v>
      </c>
      <c r="Q97" t="s">
        <v>1017</v>
      </c>
      <c r="R97" t="s">
        <v>1018</v>
      </c>
    </row>
    <row r="99" spans="2:18">
      <c r="I99" t="s">
        <v>739</v>
      </c>
      <c r="N99" t="s">
        <v>1019</v>
      </c>
      <c r="Q99" t="s">
        <v>1020</v>
      </c>
      <c r="R99" t="s">
        <v>1021</v>
      </c>
    </row>
    <row r="100" spans="2:18">
      <c r="D100" t="s">
        <v>740</v>
      </c>
      <c r="I100" t="s">
        <v>741</v>
      </c>
    </row>
    <row r="101" spans="2:18">
      <c r="G101" t="s">
        <v>1022</v>
      </c>
      <c r="I101" t="s">
        <v>1023</v>
      </c>
      <c r="M101" t="s">
        <v>979</v>
      </c>
      <c r="N101" t="s">
        <v>1024</v>
      </c>
      <c r="Q101" t="s">
        <v>1025</v>
      </c>
      <c r="R101" t="s">
        <v>1026</v>
      </c>
    </row>
    <row r="103" spans="2:18">
      <c r="I103" t="s">
        <v>742</v>
      </c>
      <c r="N103" t="s">
        <v>1027</v>
      </c>
      <c r="Q103" t="s">
        <v>1028</v>
      </c>
      <c r="R103" t="s">
        <v>1029</v>
      </c>
    </row>
    <row r="104" spans="2:18">
      <c r="G104" t="s">
        <v>1030</v>
      </c>
      <c r="I104" t="s">
        <v>743</v>
      </c>
      <c r="M104" t="s">
        <v>1031</v>
      </c>
      <c r="N104" t="s">
        <v>1032</v>
      </c>
      <c r="Q104" t="s">
        <v>1033</v>
      </c>
      <c r="R104" t="s">
        <v>1034</v>
      </c>
    </row>
    <row r="106" spans="2:18">
      <c r="B106" t="s">
        <v>31</v>
      </c>
      <c r="C106" t="s">
        <v>744</v>
      </c>
      <c r="D106" t="s">
        <v>1035</v>
      </c>
      <c r="E106" t="s">
        <v>745</v>
      </c>
      <c r="M106" t="s">
        <v>1036</v>
      </c>
      <c r="R106" t="s">
        <v>1037</v>
      </c>
    </row>
    <row r="107" spans="2:18">
      <c r="B107" t="s">
        <v>31</v>
      </c>
      <c r="D107" t="s">
        <v>746</v>
      </c>
      <c r="M107" t="s">
        <v>1038</v>
      </c>
      <c r="R107" t="s">
        <v>1039</v>
      </c>
    </row>
    <row r="108" spans="2:18">
      <c r="B108" t="s">
        <v>31</v>
      </c>
      <c r="C108" t="s">
        <v>747</v>
      </c>
      <c r="D108" t="s">
        <v>1040</v>
      </c>
      <c r="M108" t="s">
        <v>1041</v>
      </c>
      <c r="R108" t="s">
        <v>1042</v>
      </c>
    </row>
    <row r="109" spans="2:18">
      <c r="B109" t="s">
        <v>31</v>
      </c>
      <c r="C109" t="s">
        <v>748</v>
      </c>
      <c r="D109" t="s">
        <v>1043</v>
      </c>
      <c r="M109" t="s">
        <v>1044</v>
      </c>
      <c r="R109" t="s">
        <v>1045</v>
      </c>
    </row>
    <row r="110" spans="2:18">
      <c r="B110" t="s">
        <v>31</v>
      </c>
      <c r="C110" t="s">
        <v>749</v>
      </c>
      <c r="D110" t="s">
        <v>750</v>
      </c>
      <c r="M110" t="s">
        <v>1046</v>
      </c>
      <c r="R110" t="s">
        <v>1047</v>
      </c>
    </row>
    <row r="111" spans="2:18">
      <c r="B111" t="s">
        <v>31</v>
      </c>
      <c r="C111" t="s">
        <v>751</v>
      </c>
      <c r="D111" t="s">
        <v>752</v>
      </c>
      <c r="M111" t="s">
        <v>1048</v>
      </c>
      <c r="R111" t="s">
        <v>1049</v>
      </c>
    </row>
    <row r="112" spans="2:18">
      <c r="B112" t="s">
        <v>943</v>
      </c>
      <c r="I112" t="s">
        <v>753</v>
      </c>
      <c r="R112" t="s">
        <v>1050</v>
      </c>
    </row>
    <row r="113" spans="2:18">
      <c r="B113" t="s">
        <v>1051</v>
      </c>
      <c r="G113" t="s">
        <v>1052</v>
      </c>
      <c r="I113" t="s">
        <v>754</v>
      </c>
    </row>
    <row r="114" spans="2:18">
      <c r="B114" t="s">
        <v>1051</v>
      </c>
      <c r="I114" t="s">
        <v>755</v>
      </c>
      <c r="M114" t="s">
        <v>1053</v>
      </c>
      <c r="N114" t="s">
        <v>1054</v>
      </c>
      <c r="Q114" t="s">
        <v>1055</v>
      </c>
      <c r="R114" t="s">
        <v>1056</v>
      </c>
    </row>
    <row r="115" spans="2:18">
      <c r="B115" t="s">
        <v>1057</v>
      </c>
      <c r="G115" t="s">
        <v>1040</v>
      </c>
      <c r="I115" t="s">
        <v>756</v>
      </c>
      <c r="M115" t="s">
        <v>1053</v>
      </c>
      <c r="N115" t="s">
        <v>1058</v>
      </c>
      <c r="Q115" t="s">
        <v>1059</v>
      </c>
      <c r="R115" t="s">
        <v>1060</v>
      </c>
    </row>
    <row r="116" spans="2:18">
      <c r="B116" t="s">
        <v>1061</v>
      </c>
      <c r="G116" t="s">
        <v>1062</v>
      </c>
      <c r="I116" t="s">
        <v>757</v>
      </c>
      <c r="M116" t="s">
        <v>1053</v>
      </c>
      <c r="N116" t="s">
        <v>1063</v>
      </c>
      <c r="Q116" t="s">
        <v>1064</v>
      </c>
      <c r="R116" t="s">
        <v>1065</v>
      </c>
    </row>
    <row r="117" spans="2:18">
      <c r="B117" t="s">
        <v>1066</v>
      </c>
      <c r="G117" t="s">
        <v>1067</v>
      </c>
      <c r="I117" t="s">
        <v>1068</v>
      </c>
      <c r="M117" t="s">
        <v>1053</v>
      </c>
      <c r="N117" t="s">
        <v>1069</v>
      </c>
      <c r="Q117" t="s">
        <v>1070</v>
      </c>
      <c r="R117" t="s">
        <v>1071</v>
      </c>
    </row>
    <row r="118" spans="2:18">
      <c r="B118" t="s">
        <v>493</v>
      </c>
    </row>
    <row r="119" spans="2:18">
      <c r="B119" t="s">
        <v>1072</v>
      </c>
      <c r="G119" t="s">
        <v>1073</v>
      </c>
      <c r="I119" t="s">
        <v>758</v>
      </c>
      <c r="M119" t="s">
        <v>1053</v>
      </c>
      <c r="N119" t="s">
        <v>1074</v>
      </c>
      <c r="Q119" t="s">
        <v>1075</v>
      </c>
      <c r="R119" t="s">
        <v>1076</v>
      </c>
    </row>
    <row r="120" spans="2:18">
      <c r="B120" t="s">
        <v>1077</v>
      </c>
      <c r="R120" t="s">
        <v>1078</v>
      </c>
    </row>
    <row r="121" spans="2:18">
      <c r="B121" t="s">
        <v>1079</v>
      </c>
    </row>
    <row r="122" spans="2:18">
      <c r="B122" t="s">
        <v>31</v>
      </c>
      <c r="I122" t="s">
        <v>759</v>
      </c>
      <c r="N122" t="s">
        <v>1080</v>
      </c>
      <c r="Q122" t="s">
        <v>1081</v>
      </c>
      <c r="R122" t="s">
        <v>1082</v>
      </c>
    </row>
    <row r="123" spans="2:18">
      <c r="B123" t="s">
        <v>940</v>
      </c>
      <c r="I123" t="s">
        <v>1083</v>
      </c>
      <c r="N123" t="s">
        <v>1084</v>
      </c>
      <c r="Q123" t="s">
        <v>1085</v>
      </c>
      <c r="R123" t="s">
        <v>1086</v>
      </c>
    </row>
    <row r="124" spans="2:18">
      <c r="B124" t="s">
        <v>1087</v>
      </c>
    </row>
    <row r="125" spans="2:18">
      <c r="B125" t="s">
        <v>1088</v>
      </c>
    </row>
    <row r="126" spans="2:18">
      <c r="B126" t="s">
        <v>1088</v>
      </c>
    </row>
    <row r="127" spans="2:18">
      <c r="B127" t="s">
        <v>1089</v>
      </c>
      <c r="I127" t="s">
        <v>760</v>
      </c>
      <c r="R127" t="s">
        <v>1090</v>
      </c>
    </row>
    <row r="128" spans="2:18">
      <c r="B128" t="s">
        <v>1091</v>
      </c>
      <c r="I128" t="s">
        <v>1092</v>
      </c>
      <c r="N128" t="s">
        <v>1093</v>
      </c>
      <c r="Q128" t="s">
        <v>1094</v>
      </c>
      <c r="R128" t="s">
        <v>1095</v>
      </c>
    </row>
    <row r="129" spans="2:18">
      <c r="B129" t="s">
        <v>31</v>
      </c>
    </row>
    <row r="130" spans="2:18">
      <c r="B130" t="s">
        <v>31</v>
      </c>
      <c r="I130" t="s">
        <v>761</v>
      </c>
      <c r="N130" t="s">
        <v>1096</v>
      </c>
      <c r="Q130" t="s">
        <v>1097</v>
      </c>
      <c r="R130" t="s">
        <v>1098</v>
      </c>
    </row>
    <row r="131" spans="2:18">
      <c r="B131" t="s">
        <v>31</v>
      </c>
    </row>
    <row r="132" spans="2:18">
      <c r="B132" t="s">
        <v>31</v>
      </c>
    </row>
    <row r="133" spans="2:18">
      <c r="B133" t="s">
        <v>31</v>
      </c>
    </row>
    <row r="134" spans="2:18">
      <c r="B134" t="s">
        <v>31</v>
      </c>
    </row>
    <row r="135" spans="2:18">
      <c r="B135" t="s">
        <v>31</v>
      </c>
    </row>
    <row r="136" spans="2:18">
      <c r="B136" t="s">
        <v>1099</v>
      </c>
    </row>
    <row r="137" spans="2:18">
      <c r="B137" t="s">
        <v>1100</v>
      </c>
    </row>
    <row r="138" spans="2:18">
      <c r="B138" t="s">
        <v>1101</v>
      </c>
      <c r="N138" t="s">
        <v>762</v>
      </c>
    </row>
    <row r="139" spans="2:18">
      <c r="B139" t="s">
        <v>1102</v>
      </c>
      <c r="N139" t="s">
        <v>1103</v>
      </c>
      <c r="Q139" t="s">
        <v>1104</v>
      </c>
    </row>
    <row r="140" spans="2:18">
      <c r="B140" t="s">
        <v>1105</v>
      </c>
    </row>
    <row r="141" spans="2:18">
      <c r="B141" t="s">
        <v>1106</v>
      </c>
      <c r="D141" t="s">
        <v>71</v>
      </c>
      <c r="I141" t="s">
        <v>66</v>
      </c>
      <c r="N141" t="s">
        <v>1107</v>
      </c>
      <c r="Q141" t="s">
        <v>1108</v>
      </c>
    </row>
    <row r="142" spans="2:18">
      <c r="B142" t="s">
        <v>1109</v>
      </c>
      <c r="D142" t="s">
        <v>72</v>
      </c>
      <c r="I142" t="s">
        <v>763</v>
      </c>
      <c r="N142" t="s">
        <v>1110</v>
      </c>
      <c r="Q142" t="s">
        <v>1111</v>
      </c>
    </row>
    <row r="143" spans="2:18">
      <c r="B143" t="s">
        <v>1112</v>
      </c>
      <c r="I143" t="s">
        <v>764</v>
      </c>
      <c r="N143" t="s">
        <v>1113</v>
      </c>
      <c r="Q143" t="s">
        <v>1114</v>
      </c>
    </row>
    <row r="144" spans="2:18">
      <c r="B144" t="s">
        <v>1109</v>
      </c>
    </row>
    <row r="145" spans="2:17">
      <c r="B145" t="s">
        <v>1115</v>
      </c>
      <c r="D145" t="s">
        <v>765</v>
      </c>
      <c r="N145" t="s">
        <v>1116</v>
      </c>
      <c r="Q145" t="s">
        <v>1117</v>
      </c>
    </row>
    <row r="146" spans="2:17">
      <c r="B146" t="s">
        <v>1118</v>
      </c>
      <c r="D146" t="s">
        <v>74</v>
      </c>
      <c r="N146" t="s">
        <v>1119</v>
      </c>
      <c r="Q146" t="s">
        <v>1120</v>
      </c>
    </row>
    <row r="147" spans="2:17">
      <c r="B147" t="s">
        <v>1121</v>
      </c>
      <c r="N147" t="s">
        <v>766</v>
      </c>
    </row>
    <row r="148" spans="2:17">
      <c r="B148" t="s">
        <v>1122</v>
      </c>
      <c r="N148" t="s">
        <v>1123</v>
      </c>
      <c r="Q148" t="s">
        <v>1124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148"/>
  <sheetViews>
    <sheetView workbookViewId="0"/>
  </sheetViews>
  <sheetFormatPr defaultRowHeight="12.75"/>
  <sheetData>
    <row r="1" spans="1:18">
      <c r="A1" t="s">
        <v>795</v>
      </c>
      <c r="B1" t="s">
        <v>53</v>
      </c>
      <c r="C1" t="s">
        <v>31</v>
      </c>
      <c r="D1" t="s">
        <v>31</v>
      </c>
      <c r="E1" t="s">
        <v>31</v>
      </c>
      <c r="F1" t="s">
        <v>31</v>
      </c>
      <c r="G1" t="s">
        <v>796</v>
      </c>
      <c r="H1" t="s">
        <v>797</v>
      </c>
      <c r="I1" t="s">
        <v>597</v>
      </c>
      <c r="J1" t="s">
        <v>598</v>
      </c>
      <c r="K1" t="s">
        <v>31</v>
      </c>
      <c r="L1" t="s">
        <v>31</v>
      </c>
      <c r="M1" t="s">
        <v>31</v>
      </c>
      <c r="R1" t="s">
        <v>31</v>
      </c>
    </row>
    <row r="2" spans="1:18">
      <c r="A2" t="s">
        <v>53</v>
      </c>
      <c r="B2" t="s">
        <v>798</v>
      </c>
      <c r="D2" t="s">
        <v>55</v>
      </c>
      <c r="F2" t="s">
        <v>600</v>
      </c>
      <c r="I2" t="s">
        <v>601</v>
      </c>
      <c r="N2" t="s">
        <v>799</v>
      </c>
      <c r="O2" t="s">
        <v>800</v>
      </c>
      <c r="P2" t="s">
        <v>31</v>
      </c>
      <c r="Q2" t="s">
        <v>801</v>
      </c>
    </row>
    <row r="3" spans="1:18">
      <c r="A3" t="s">
        <v>31</v>
      </c>
      <c r="B3" t="s">
        <v>602</v>
      </c>
      <c r="C3" t="s">
        <v>802</v>
      </c>
      <c r="D3" t="s">
        <v>803</v>
      </c>
      <c r="E3" t="s">
        <v>604</v>
      </c>
      <c r="F3" t="s">
        <v>804</v>
      </c>
      <c r="I3" t="s">
        <v>805</v>
      </c>
    </row>
    <row r="4" spans="1:18">
      <c r="A4" t="s">
        <v>31</v>
      </c>
      <c r="B4" t="s">
        <v>605</v>
      </c>
      <c r="C4" t="s">
        <v>806</v>
      </c>
      <c r="D4" t="s">
        <v>807</v>
      </c>
      <c r="E4" t="s">
        <v>606</v>
      </c>
      <c r="F4" t="s">
        <v>92</v>
      </c>
      <c r="I4" t="s">
        <v>607</v>
      </c>
    </row>
    <row r="5" spans="1:18">
      <c r="A5" t="s">
        <v>31</v>
      </c>
      <c r="B5" t="s">
        <v>608</v>
      </c>
      <c r="C5" t="s">
        <v>808</v>
      </c>
      <c r="D5" t="s">
        <v>59</v>
      </c>
      <c r="E5" t="s">
        <v>609</v>
      </c>
      <c r="F5" t="s">
        <v>809</v>
      </c>
      <c r="I5" t="s">
        <v>275</v>
      </c>
    </row>
    <row r="6" spans="1:18">
      <c r="A6" t="s">
        <v>31</v>
      </c>
      <c r="C6" t="s">
        <v>810</v>
      </c>
      <c r="D6" t="s">
        <v>811</v>
      </c>
      <c r="E6" t="s">
        <v>812</v>
      </c>
      <c r="F6" t="s">
        <v>274</v>
      </c>
      <c r="I6" t="s">
        <v>263</v>
      </c>
    </row>
    <row r="7" spans="1:18">
      <c r="A7" t="s">
        <v>31</v>
      </c>
      <c r="C7" t="s">
        <v>813</v>
      </c>
      <c r="D7" t="s">
        <v>814</v>
      </c>
      <c r="E7" t="s">
        <v>815</v>
      </c>
      <c r="I7" t="s">
        <v>610</v>
      </c>
    </row>
    <row r="8" spans="1:18">
      <c r="A8" t="s">
        <v>31</v>
      </c>
      <c r="C8" t="s">
        <v>816</v>
      </c>
      <c r="D8" t="s">
        <v>817</v>
      </c>
      <c r="E8" t="s">
        <v>818</v>
      </c>
      <c r="I8" t="s">
        <v>65</v>
      </c>
    </row>
    <row r="9" spans="1:18">
      <c r="A9" t="s">
        <v>31</v>
      </c>
      <c r="C9" t="s">
        <v>819</v>
      </c>
      <c r="D9" t="s">
        <v>820</v>
      </c>
      <c r="E9" t="s">
        <v>821</v>
      </c>
      <c r="I9" t="s">
        <v>611</v>
      </c>
      <c r="N9" t="s">
        <v>822</v>
      </c>
      <c r="Q9" t="s">
        <v>823</v>
      </c>
    </row>
    <row r="10" spans="1:18">
      <c r="A10" t="s">
        <v>31</v>
      </c>
      <c r="C10" t="s">
        <v>612</v>
      </c>
      <c r="E10" t="s">
        <v>824</v>
      </c>
      <c r="I10" t="s">
        <v>613</v>
      </c>
      <c r="N10" t="s">
        <v>825</v>
      </c>
    </row>
    <row r="11" spans="1:18">
      <c r="A11" t="s">
        <v>31</v>
      </c>
      <c r="B11" t="s">
        <v>614</v>
      </c>
      <c r="C11" t="s">
        <v>826</v>
      </c>
      <c r="N11" t="s">
        <v>827</v>
      </c>
    </row>
    <row r="12" spans="1:18">
      <c r="A12" t="s">
        <v>493</v>
      </c>
      <c r="C12" t="s">
        <v>828</v>
      </c>
      <c r="E12" t="s">
        <v>829</v>
      </c>
    </row>
    <row r="13" spans="1:18">
      <c r="A13" t="s">
        <v>493</v>
      </c>
      <c r="C13" t="s">
        <v>830</v>
      </c>
    </row>
    <row r="14" spans="1:18">
      <c r="A14" t="s">
        <v>493</v>
      </c>
    </row>
    <row r="15" spans="1:18">
      <c r="A15" t="s">
        <v>63</v>
      </c>
      <c r="G15" t="s">
        <v>615</v>
      </c>
      <c r="I15" t="s">
        <v>300</v>
      </c>
      <c r="M15" t="s">
        <v>831</v>
      </c>
      <c r="N15" t="s">
        <v>832</v>
      </c>
      <c r="Q15" t="s">
        <v>289</v>
      </c>
    </row>
    <row r="16" spans="1:18">
      <c r="M16" t="s">
        <v>833</v>
      </c>
    </row>
    <row r="17" spans="2:18">
      <c r="B17" t="s">
        <v>493</v>
      </c>
      <c r="D17" t="s">
        <v>71</v>
      </c>
    </row>
    <row r="18" spans="2:18">
      <c r="B18" t="s">
        <v>834</v>
      </c>
      <c r="C18" t="s">
        <v>619</v>
      </c>
      <c r="I18" t="s">
        <v>835</v>
      </c>
    </row>
    <row r="19" spans="2:18">
      <c r="B19" t="s">
        <v>836</v>
      </c>
    </row>
    <row r="20" spans="2:18">
      <c r="B20" t="s">
        <v>836</v>
      </c>
      <c r="I20" t="s">
        <v>620</v>
      </c>
    </row>
    <row r="21" spans="2:18">
      <c r="B21" t="s">
        <v>62</v>
      </c>
      <c r="D21" t="s">
        <v>621</v>
      </c>
      <c r="G21" t="s">
        <v>622</v>
      </c>
      <c r="I21" t="s">
        <v>837</v>
      </c>
      <c r="N21" t="s">
        <v>838</v>
      </c>
      <c r="Q21" t="s">
        <v>839</v>
      </c>
      <c r="R21" t="s">
        <v>840</v>
      </c>
    </row>
    <row r="22" spans="2:18">
      <c r="B22" t="s">
        <v>841</v>
      </c>
      <c r="G22" t="s">
        <v>842</v>
      </c>
      <c r="I22" t="s">
        <v>843</v>
      </c>
      <c r="N22" t="s">
        <v>844</v>
      </c>
      <c r="Q22" t="s">
        <v>845</v>
      </c>
      <c r="R22" t="s">
        <v>846</v>
      </c>
    </row>
    <row r="23" spans="2:18">
      <c r="B23" t="s">
        <v>31</v>
      </c>
      <c r="C23" t="s">
        <v>635</v>
      </c>
      <c r="D23" t="s">
        <v>636</v>
      </c>
    </row>
    <row r="24" spans="2:18">
      <c r="B24" t="s">
        <v>31</v>
      </c>
      <c r="G24" t="s">
        <v>847</v>
      </c>
      <c r="I24" t="s">
        <v>848</v>
      </c>
      <c r="N24" t="s">
        <v>849</v>
      </c>
      <c r="Q24" t="s">
        <v>850</v>
      </c>
      <c r="R24" t="s">
        <v>851</v>
      </c>
    </row>
    <row r="25" spans="2:18">
      <c r="B25" t="s">
        <v>31</v>
      </c>
    </row>
    <row r="26" spans="2:18">
      <c r="B26" t="s">
        <v>31</v>
      </c>
      <c r="G26" t="s">
        <v>637</v>
      </c>
      <c r="I26" t="s">
        <v>638</v>
      </c>
      <c r="N26" t="s">
        <v>852</v>
      </c>
      <c r="P26" t="s">
        <v>853</v>
      </c>
      <c r="Q26" t="s">
        <v>854</v>
      </c>
      <c r="R26" t="s">
        <v>855</v>
      </c>
    </row>
    <row r="27" spans="2:18">
      <c r="B27" t="s">
        <v>856</v>
      </c>
      <c r="G27" t="s">
        <v>637</v>
      </c>
      <c r="I27" t="s">
        <v>638</v>
      </c>
      <c r="N27" t="s">
        <v>857</v>
      </c>
      <c r="Q27" t="s">
        <v>858</v>
      </c>
      <c r="R27" t="s">
        <v>859</v>
      </c>
    </row>
    <row r="28" spans="2:18">
      <c r="B28" t="s">
        <v>860</v>
      </c>
      <c r="C28" t="s">
        <v>648</v>
      </c>
      <c r="D28" t="s">
        <v>649</v>
      </c>
      <c r="G28" t="s">
        <v>649</v>
      </c>
      <c r="I28" t="s">
        <v>650</v>
      </c>
    </row>
    <row r="29" spans="2:18">
      <c r="B29" t="s">
        <v>861</v>
      </c>
      <c r="G29" t="s">
        <v>862</v>
      </c>
      <c r="I29" t="s">
        <v>863</v>
      </c>
      <c r="N29" t="s">
        <v>864</v>
      </c>
      <c r="Q29" t="s">
        <v>865</v>
      </c>
      <c r="R29" t="s">
        <v>866</v>
      </c>
    </row>
    <row r="30" spans="2:18">
      <c r="B30" t="s">
        <v>867</v>
      </c>
      <c r="C30" t="s">
        <v>651</v>
      </c>
      <c r="D30" t="s">
        <v>652</v>
      </c>
      <c r="F30" t="s">
        <v>653</v>
      </c>
      <c r="G30" t="s">
        <v>652</v>
      </c>
      <c r="I30" t="s">
        <v>654</v>
      </c>
    </row>
    <row r="31" spans="2:18">
      <c r="B31" t="s">
        <v>868</v>
      </c>
      <c r="G31" t="s">
        <v>869</v>
      </c>
      <c r="I31" t="s">
        <v>870</v>
      </c>
      <c r="N31" t="s">
        <v>871</v>
      </c>
      <c r="Q31" t="s">
        <v>872</v>
      </c>
      <c r="R31" t="s">
        <v>873</v>
      </c>
    </row>
    <row r="32" spans="2:18">
      <c r="B32" t="s">
        <v>237</v>
      </c>
      <c r="F32" t="s">
        <v>662</v>
      </c>
    </row>
    <row r="33" spans="2:18">
      <c r="B33" t="s">
        <v>874</v>
      </c>
      <c r="G33" t="s">
        <v>875</v>
      </c>
      <c r="I33" t="s">
        <v>876</v>
      </c>
      <c r="N33" t="s">
        <v>877</v>
      </c>
      <c r="Q33" t="s">
        <v>878</v>
      </c>
      <c r="R33" t="s">
        <v>879</v>
      </c>
    </row>
    <row r="34" spans="2:18">
      <c r="B34" t="s">
        <v>31</v>
      </c>
      <c r="C34" t="s">
        <v>671</v>
      </c>
      <c r="D34" t="s">
        <v>672</v>
      </c>
    </row>
    <row r="35" spans="2:18">
      <c r="B35" t="s">
        <v>880</v>
      </c>
      <c r="G35" t="s">
        <v>881</v>
      </c>
      <c r="I35" t="s">
        <v>882</v>
      </c>
      <c r="N35" t="s">
        <v>883</v>
      </c>
      <c r="Q35" t="s">
        <v>884</v>
      </c>
      <c r="R35" t="s">
        <v>885</v>
      </c>
    </row>
    <row r="36" spans="2:18">
      <c r="B36" t="s">
        <v>836</v>
      </c>
    </row>
    <row r="37" spans="2:18">
      <c r="B37" t="s">
        <v>836</v>
      </c>
      <c r="I37" t="s">
        <v>676</v>
      </c>
      <c r="N37" t="s">
        <v>886</v>
      </c>
      <c r="Q37" t="s">
        <v>887</v>
      </c>
      <c r="R37" t="s">
        <v>888</v>
      </c>
    </row>
    <row r="38" spans="2:18">
      <c r="B38" t="s">
        <v>836</v>
      </c>
    </row>
    <row r="39" spans="2:18">
      <c r="B39" t="s">
        <v>836</v>
      </c>
      <c r="I39" t="s">
        <v>677</v>
      </c>
    </row>
    <row r="40" spans="2:18">
      <c r="B40" t="s">
        <v>889</v>
      </c>
      <c r="C40" t="s">
        <v>678</v>
      </c>
      <c r="D40" t="s">
        <v>679</v>
      </c>
      <c r="I40" t="s">
        <v>680</v>
      </c>
    </row>
    <row r="41" spans="2:18">
      <c r="B41" t="s">
        <v>890</v>
      </c>
      <c r="G41" t="s">
        <v>891</v>
      </c>
      <c r="I41" t="s">
        <v>892</v>
      </c>
      <c r="N41" t="s">
        <v>893</v>
      </c>
      <c r="Q41" t="s">
        <v>894</v>
      </c>
      <c r="R41" t="s">
        <v>895</v>
      </c>
    </row>
    <row r="42" spans="2:18">
      <c r="B42" t="s">
        <v>31</v>
      </c>
    </row>
    <row r="43" spans="2:18">
      <c r="B43" t="s">
        <v>31</v>
      </c>
      <c r="C43" t="s">
        <v>683</v>
      </c>
      <c r="D43" t="s">
        <v>684</v>
      </c>
    </row>
    <row r="44" spans="2:18">
      <c r="B44" t="s">
        <v>896</v>
      </c>
      <c r="G44" t="s">
        <v>897</v>
      </c>
      <c r="I44" t="s">
        <v>898</v>
      </c>
      <c r="N44" t="s">
        <v>899</v>
      </c>
      <c r="Q44" t="s">
        <v>900</v>
      </c>
      <c r="R44" t="s">
        <v>901</v>
      </c>
    </row>
    <row r="45" spans="2:18">
      <c r="B45" t="s">
        <v>836</v>
      </c>
    </row>
    <row r="46" spans="2:18">
      <c r="B46" t="s">
        <v>836</v>
      </c>
      <c r="I46" t="s">
        <v>688</v>
      </c>
      <c r="N46" t="s">
        <v>902</v>
      </c>
      <c r="Q46" t="s">
        <v>903</v>
      </c>
      <c r="R46" t="s">
        <v>904</v>
      </c>
    </row>
    <row r="47" spans="2:18">
      <c r="B47" t="s">
        <v>62</v>
      </c>
    </row>
    <row r="48" spans="2:18">
      <c r="B48" t="s">
        <v>834</v>
      </c>
      <c r="I48" t="s">
        <v>689</v>
      </c>
      <c r="N48" t="s">
        <v>905</v>
      </c>
      <c r="Q48" t="s">
        <v>906</v>
      </c>
      <c r="R48" t="s">
        <v>907</v>
      </c>
    </row>
    <row r="49" spans="2:18">
      <c r="B49" t="s">
        <v>62</v>
      </c>
    </row>
    <row r="50" spans="2:18">
      <c r="B50" t="s">
        <v>493</v>
      </c>
      <c r="D50" t="s">
        <v>72</v>
      </c>
    </row>
    <row r="51" spans="2:18">
      <c r="B51" t="s">
        <v>493</v>
      </c>
      <c r="I51" t="s">
        <v>690</v>
      </c>
    </row>
    <row r="52" spans="2:18">
      <c r="B52" t="s">
        <v>493</v>
      </c>
    </row>
    <row r="53" spans="2:18">
      <c r="B53" t="s">
        <v>908</v>
      </c>
      <c r="C53" t="s">
        <v>691</v>
      </c>
      <c r="I53" t="s">
        <v>692</v>
      </c>
    </row>
    <row r="54" spans="2:18">
      <c r="B54" t="s">
        <v>836</v>
      </c>
    </row>
    <row r="55" spans="2:18">
      <c r="B55" t="s">
        <v>836</v>
      </c>
      <c r="I55" t="s">
        <v>693</v>
      </c>
    </row>
    <row r="56" spans="2:18">
      <c r="B56" t="s">
        <v>694</v>
      </c>
      <c r="D56" t="s">
        <v>695</v>
      </c>
      <c r="G56" t="s">
        <v>909</v>
      </c>
      <c r="I56" t="s">
        <v>910</v>
      </c>
      <c r="N56" t="s">
        <v>911</v>
      </c>
      <c r="Q56" t="s">
        <v>912</v>
      </c>
      <c r="R56" t="s">
        <v>913</v>
      </c>
    </row>
    <row r="57" spans="2:18">
      <c r="B57" t="s">
        <v>914</v>
      </c>
      <c r="G57" t="s">
        <v>915</v>
      </c>
      <c r="I57" t="s">
        <v>916</v>
      </c>
      <c r="N57" t="s">
        <v>917</v>
      </c>
      <c r="Q57" t="s">
        <v>918</v>
      </c>
      <c r="R57" t="s">
        <v>919</v>
      </c>
    </row>
    <row r="58" spans="2:18">
      <c r="B58" t="s">
        <v>920</v>
      </c>
      <c r="G58" t="s">
        <v>921</v>
      </c>
      <c r="I58" t="s">
        <v>647</v>
      </c>
      <c r="N58" t="s">
        <v>922</v>
      </c>
      <c r="Q58" t="s">
        <v>923</v>
      </c>
      <c r="R58" t="s">
        <v>924</v>
      </c>
    </row>
    <row r="59" spans="2:18">
      <c r="B59" t="s">
        <v>836</v>
      </c>
    </row>
    <row r="60" spans="2:18">
      <c r="B60" t="s">
        <v>836</v>
      </c>
      <c r="I60" t="s">
        <v>705</v>
      </c>
      <c r="N60" t="s">
        <v>925</v>
      </c>
      <c r="Q60" t="s">
        <v>926</v>
      </c>
      <c r="R60" t="s">
        <v>927</v>
      </c>
    </row>
    <row r="61" spans="2:18">
      <c r="B61" t="s">
        <v>836</v>
      </c>
    </row>
    <row r="62" spans="2:18">
      <c r="B62" t="s">
        <v>836</v>
      </c>
      <c r="I62" t="s">
        <v>706</v>
      </c>
    </row>
    <row r="63" spans="2:18">
      <c r="B63" t="s">
        <v>928</v>
      </c>
      <c r="C63" t="s">
        <v>691</v>
      </c>
      <c r="D63" t="s">
        <v>707</v>
      </c>
      <c r="G63" t="s">
        <v>929</v>
      </c>
      <c r="I63" t="s">
        <v>930</v>
      </c>
      <c r="N63" t="s">
        <v>931</v>
      </c>
      <c r="Q63" t="s">
        <v>932</v>
      </c>
      <c r="R63" t="s">
        <v>933</v>
      </c>
    </row>
    <row r="64" spans="2:18">
      <c r="B64" t="s">
        <v>836</v>
      </c>
    </row>
    <row r="65" spans="2:18">
      <c r="B65" t="s">
        <v>836</v>
      </c>
      <c r="I65" t="s">
        <v>708</v>
      </c>
      <c r="N65" t="s">
        <v>934</v>
      </c>
      <c r="Q65" t="s">
        <v>935</v>
      </c>
      <c r="R65" t="s">
        <v>936</v>
      </c>
    </row>
    <row r="66" spans="2:18">
      <c r="B66" t="s">
        <v>694</v>
      </c>
    </row>
    <row r="67" spans="2:18">
      <c r="B67" t="s">
        <v>694</v>
      </c>
      <c r="I67" t="s">
        <v>709</v>
      </c>
      <c r="N67" t="s">
        <v>937</v>
      </c>
      <c r="Q67" t="s">
        <v>938</v>
      </c>
      <c r="R67" t="s">
        <v>939</v>
      </c>
    </row>
    <row r="68" spans="2:18">
      <c r="B68" t="s">
        <v>694</v>
      </c>
    </row>
    <row r="69" spans="2:18">
      <c r="B69" t="s">
        <v>493</v>
      </c>
      <c r="D69" t="s">
        <v>710</v>
      </c>
      <c r="E69" t="s">
        <v>711</v>
      </c>
    </row>
    <row r="70" spans="2:18">
      <c r="B70" t="s">
        <v>940</v>
      </c>
      <c r="C70" t="s">
        <v>712</v>
      </c>
      <c r="I70" t="s">
        <v>941</v>
      </c>
      <c r="R70" t="s">
        <v>942</v>
      </c>
    </row>
    <row r="71" spans="2:18">
      <c r="B71" t="s">
        <v>943</v>
      </c>
      <c r="D71" t="s">
        <v>710</v>
      </c>
      <c r="R71" t="s">
        <v>944</v>
      </c>
    </row>
    <row r="72" spans="2:18">
      <c r="B72" t="s">
        <v>943</v>
      </c>
      <c r="D72" t="s">
        <v>713</v>
      </c>
      <c r="I72" t="s">
        <v>712</v>
      </c>
      <c r="R72" t="s">
        <v>945</v>
      </c>
    </row>
    <row r="73" spans="2:18">
      <c r="B73" t="s">
        <v>946</v>
      </c>
      <c r="G73" t="s">
        <v>947</v>
      </c>
      <c r="I73" t="s">
        <v>714</v>
      </c>
      <c r="M73" t="s">
        <v>948</v>
      </c>
      <c r="N73" t="s">
        <v>949</v>
      </c>
      <c r="Q73" t="s">
        <v>950</v>
      </c>
      <c r="R73" t="s">
        <v>951</v>
      </c>
    </row>
    <row r="74" spans="2:18">
      <c r="B74" t="s">
        <v>952</v>
      </c>
      <c r="G74" t="s">
        <v>953</v>
      </c>
      <c r="I74" t="s">
        <v>715</v>
      </c>
      <c r="M74" t="s">
        <v>954</v>
      </c>
      <c r="N74" t="s">
        <v>955</v>
      </c>
      <c r="Q74" t="s">
        <v>956</v>
      </c>
      <c r="R74" t="s">
        <v>957</v>
      </c>
    </row>
    <row r="75" spans="2:18">
      <c r="B75" t="s">
        <v>958</v>
      </c>
      <c r="G75" t="s">
        <v>953</v>
      </c>
      <c r="I75" t="s">
        <v>716</v>
      </c>
      <c r="M75" t="s">
        <v>959</v>
      </c>
      <c r="N75" t="s">
        <v>960</v>
      </c>
      <c r="Q75" t="s">
        <v>961</v>
      </c>
      <c r="R75" t="s">
        <v>962</v>
      </c>
    </row>
    <row r="76" spans="2:18">
      <c r="B76" t="s">
        <v>963</v>
      </c>
      <c r="D76" t="s">
        <v>710</v>
      </c>
      <c r="G76" t="s">
        <v>964</v>
      </c>
      <c r="I76" t="s">
        <v>965</v>
      </c>
      <c r="M76" t="s">
        <v>966</v>
      </c>
      <c r="N76" t="s">
        <v>967</v>
      </c>
      <c r="Q76" t="s">
        <v>968</v>
      </c>
      <c r="R76" t="s">
        <v>969</v>
      </c>
    </row>
    <row r="77" spans="2:18">
      <c r="B77" t="s">
        <v>493</v>
      </c>
    </row>
    <row r="78" spans="2:18">
      <c r="B78" t="s">
        <v>970</v>
      </c>
      <c r="G78" t="s">
        <v>971</v>
      </c>
      <c r="I78" t="s">
        <v>724</v>
      </c>
      <c r="M78" t="s">
        <v>972</v>
      </c>
      <c r="N78" t="s">
        <v>973</v>
      </c>
      <c r="Q78" t="s">
        <v>974</v>
      </c>
      <c r="R78" t="s">
        <v>975</v>
      </c>
    </row>
    <row r="79" spans="2:18">
      <c r="B79" t="s">
        <v>976</v>
      </c>
    </row>
    <row r="80" spans="2:18">
      <c r="D80" t="s">
        <v>725</v>
      </c>
      <c r="I80" t="s">
        <v>726</v>
      </c>
    </row>
    <row r="81" spans="4:18">
      <c r="G81" t="s">
        <v>977</v>
      </c>
      <c r="I81" t="s">
        <v>978</v>
      </c>
      <c r="M81" t="s">
        <v>979</v>
      </c>
      <c r="N81" t="s">
        <v>980</v>
      </c>
      <c r="Q81" t="s">
        <v>981</v>
      </c>
      <c r="R81" t="s">
        <v>982</v>
      </c>
    </row>
    <row r="83" spans="4:18">
      <c r="I83" t="s">
        <v>727</v>
      </c>
      <c r="N83" t="s">
        <v>983</v>
      </c>
      <c r="Q83" t="s">
        <v>984</v>
      </c>
      <c r="R83" t="s">
        <v>985</v>
      </c>
    </row>
    <row r="84" spans="4:18">
      <c r="D84" t="s">
        <v>728</v>
      </c>
      <c r="I84" t="s">
        <v>729</v>
      </c>
    </row>
    <row r="85" spans="4:18">
      <c r="G85" t="s">
        <v>986</v>
      </c>
      <c r="I85" t="s">
        <v>166</v>
      </c>
      <c r="M85" t="s">
        <v>948</v>
      </c>
      <c r="N85" t="s">
        <v>987</v>
      </c>
      <c r="Q85" t="s">
        <v>988</v>
      </c>
      <c r="R85" t="s">
        <v>989</v>
      </c>
    </row>
    <row r="86" spans="4:18">
      <c r="G86" t="s">
        <v>990</v>
      </c>
      <c r="I86" t="s">
        <v>730</v>
      </c>
      <c r="M86" t="s">
        <v>954</v>
      </c>
      <c r="N86" t="s">
        <v>991</v>
      </c>
      <c r="Q86" t="s">
        <v>992</v>
      </c>
      <c r="R86" t="s">
        <v>993</v>
      </c>
    </row>
    <row r="87" spans="4:18">
      <c r="G87" t="s">
        <v>994</v>
      </c>
      <c r="I87" t="s">
        <v>731</v>
      </c>
      <c r="M87" t="s">
        <v>959</v>
      </c>
      <c r="N87" t="s">
        <v>995</v>
      </c>
      <c r="Q87" t="s">
        <v>996</v>
      </c>
      <c r="R87" t="s">
        <v>997</v>
      </c>
    </row>
    <row r="89" spans="4:18">
      <c r="D89" t="s">
        <v>710</v>
      </c>
      <c r="G89" t="s">
        <v>998</v>
      </c>
      <c r="I89" t="s">
        <v>999</v>
      </c>
      <c r="M89" t="s">
        <v>966</v>
      </c>
      <c r="N89" t="s">
        <v>1000</v>
      </c>
      <c r="Q89" t="s">
        <v>1001</v>
      </c>
      <c r="R89" t="s">
        <v>1002</v>
      </c>
    </row>
    <row r="91" spans="4:18">
      <c r="I91" t="s">
        <v>732</v>
      </c>
      <c r="N91" t="s">
        <v>1003</v>
      </c>
      <c r="Q91" t="s">
        <v>1004</v>
      </c>
      <c r="R91" t="s">
        <v>1005</v>
      </c>
    </row>
    <row r="92" spans="4:18">
      <c r="D92" t="s">
        <v>733</v>
      </c>
      <c r="I92" t="s">
        <v>734</v>
      </c>
    </row>
    <row r="93" spans="4:18">
      <c r="G93" t="s">
        <v>1006</v>
      </c>
      <c r="I93" t="s">
        <v>1007</v>
      </c>
      <c r="M93" t="s">
        <v>979</v>
      </c>
      <c r="N93" t="s">
        <v>1008</v>
      </c>
      <c r="Q93" t="s">
        <v>1009</v>
      </c>
      <c r="R93" t="s">
        <v>1010</v>
      </c>
    </row>
    <row r="95" spans="4:18">
      <c r="I95" t="s">
        <v>735</v>
      </c>
      <c r="N95" t="s">
        <v>1011</v>
      </c>
      <c r="Q95" t="s">
        <v>1012</v>
      </c>
      <c r="R95" t="s">
        <v>1013</v>
      </c>
    </row>
    <row r="96" spans="4:18">
      <c r="D96" t="s">
        <v>736</v>
      </c>
      <c r="I96" t="s">
        <v>737</v>
      </c>
    </row>
    <row r="97" spans="2:18">
      <c r="G97" t="s">
        <v>1014</v>
      </c>
      <c r="I97" t="s">
        <v>1015</v>
      </c>
      <c r="M97" t="s">
        <v>979</v>
      </c>
      <c r="N97" t="s">
        <v>1016</v>
      </c>
      <c r="Q97" t="s">
        <v>1017</v>
      </c>
      <c r="R97" t="s">
        <v>1018</v>
      </c>
    </row>
    <row r="99" spans="2:18">
      <c r="I99" t="s">
        <v>739</v>
      </c>
      <c r="N99" t="s">
        <v>1019</v>
      </c>
      <c r="Q99" t="s">
        <v>1020</v>
      </c>
      <c r="R99" t="s">
        <v>1021</v>
      </c>
    </row>
    <row r="100" spans="2:18">
      <c r="D100" t="s">
        <v>740</v>
      </c>
      <c r="I100" t="s">
        <v>741</v>
      </c>
    </row>
    <row r="101" spans="2:18">
      <c r="G101" t="s">
        <v>1022</v>
      </c>
      <c r="I101" t="s">
        <v>1023</v>
      </c>
      <c r="M101" t="s">
        <v>979</v>
      </c>
      <c r="N101" t="s">
        <v>1024</v>
      </c>
      <c r="Q101" t="s">
        <v>1025</v>
      </c>
      <c r="R101" t="s">
        <v>1026</v>
      </c>
    </row>
    <row r="103" spans="2:18">
      <c r="I103" t="s">
        <v>742</v>
      </c>
      <c r="N103" t="s">
        <v>1027</v>
      </c>
      <c r="Q103" t="s">
        <v>1028</v>
      </c>
      <c r="R103" t="s">
        <v>1029</v>
      </c>
    </row>
    <row r="104" spans="2:18">
      <c r="G104" t="s">
        <v>1030</v>
      </c>
      <c r="I104" t="s">
        <v>743</v>
      </c>
      <c r="M104" t="s">
        <v>1031</v>
      </c>
      <c r="N104" t="s">
        <v>1032</v>
      </c>
      <c r="Q104" t="s">
        <v>1033</v>
      </c>
      <c r="R104" t="s">
        <v>1034</v>
      </c>
    </row>
    <row r="106" spans="2:18">
      <c r="B106" t="s">
        <v>31</v>
      </c>
      <c r="C106" t="s">
        <v>744</v>
      </c>
      <c r="D106" t="s">
        <v>1035</v>
      </c>
      <c r="E106" t="s">
        <v>745</v>
      </c>
      <c r="M106" t="s">
        <v>1036</v>
      </c>
      <c r="R106" t="s">
        <v>1037</v>
      </c>
    </row>
    <row r="107" spans="2:18">
      <c r="B107" t="s">
        <v>31</v>
      </c>
      <c r="D107" t="s">
        <v>746</v>
      </c>
      <c r="M107" t="s">
        <v>1038</v>
      </c>
      <c r="R107" t="s">
        <v>1039</v>
      </c>
    </row>
    <row r="108" spans="2:18">
      <c r="B108" t="s">
        <v>31</v>
      </c>
      <c r="C108" t="s">
        <v>747</v>
      </c>
      <c r="D108" t="s">
        <v>1040</v>
      </c>
      <c r="M108" t="s">
        <v>1041</v>
      </c>
      <c r="R108" t="s">
        <v>1042</v>
      </c>
    </row>
    <row r="109" spans="2:18">
      <c r="B109" t="s">
        <v>31</v>
      </c>
      <c r="C109" t="s">
        <v>748</v>
      </c>
      <c r="D109" t="s">
        <v>1043</v>
      </c>
      <c r="M109" t="s">
        <v>1044</v>
      </c>
      <c r="R109" t="s">
        <v>1045</v>
      </c>
    </row>
    <row r="110" spans="2:18">
      <c r="B110" t="s">
        <v>31</v>
      </c>
      <c r="C110" t="s">
        <v>749</v>
      </c>
      <c r="D110" t="s">
        <v>750</v>
      </c>
      <c r="M110" t="s">
        <v>1046</v>
      </c>
      <c r="R110" t="s">
        <v>1047</v>
      </c>
    </row>
    <row r="111" spans="2:18">
      <c r="B111" t="s">
        <v>31</v>
      </c>
      <c r="C111" t="s">
        <v>751</v>
      </c>
      <c r="D111" t="s">
        <v>752</v>
      </c>
      <c r="M111" t="s">
        <v>1048</v>
      </c>
      <c r="R111" t="s">
        <v>1049</v>
      </c>
    </row>
    <row r="112" spans="2:18">
      <c r="B112" t="s">
        <v>943</v>
      </c>
      <c r="I112" t="s">
        <v>753</v>
      </c>
      <c r="R112" t="s">
        <v>1050</v>
      </c>
    </row>
    <row r="113" spans="2:18">
      <c r="B113" t="s">
        <v>1051</v>
      </c>
      <c r="G113" t="s">
        <v>1052</v>
      </c>
      <c r="I113" t="s">
        <v>754</v>
      </c>
    </row>
    <row r="114" spans="2:18">
      <c r="B114" t="s">
        <v>1051</v>
      </c>
      <c r="I114" t="s">
        <v>755</v>
      </c>
      <c r="M114" t="s">
        <v>1053</v>
      </c>
      <c r="N114" t="s">
        <v>1054</v>
      </c>
      <c r="Q114" t="s">
        <v>1055</v>
      </c>
      <c r="R114" t="s">
        <v>1056</v>
      </c>
    </row>
    <row r="115" spans="2:18">
      <c r="B115" t="s">
        <v>1057</v>
      </c>
      <c r="G115" t="s">
        <v>1040</v>
      </c>
      <c r="I115" t="s">
        <v>756</v>
      </c>
      <c r="M115" t="s">
        <v>1053</v>
      </c>
      <c r="N115" t="s">
        <v>1058</v>
      </c>
      <c r="Q115" t="s">
        <v>1059</v>
      </c>
      <c r="R115" t="s">
        <v>1060</v>
      </c>
    </row>
    <row r="116" spans="2:18">
      <c r="B116" t="s">
        <v>1061</v>
      </c>
      <c r="G116" t="s">
        <v>1062</v>
      </c>
      <c r="I116" t="s">
        <v>757</v>
      </c>
      <c r="M116" t="s">
        <v>1053</v>
      </c>
      <c r="N116" t="s">
        <v>1063</v>
      </c>
      <c r="Q116" t="s">
        <v>1064</v>
      </c>
      <c r="R116" t="s">
        <v>1065</v>
      </c>
    </row>
    <row r="117" spans="2:18">
      <c r="B117" t="s">
        <v>1066</v>
      </c>
      <c r="G117" t="s">
        <v>1067</v>
      </c>
      <c r="I117" t="s">
        <v>1068</v>
      </c>
      <c r="M117" t="s">
        <v>1053</v>
      </c>
      <c r="N117" t="s">
        <v>1069</v>
      </c>
      <c r="Q117" t="s">
        <v>1070</v>
      </c>
      <c r="R117" t="s">
        <v>1071</v>
      </c>
    </row>
    <row r="118" spans="2:18">
      <c r="B118" t="s">
        <v>493</v>
      </c>
    </row>
    <row r="119" spans="2:18">
      <c r="B119" t="s">
        <v>1072</v>
      </c>
      <c r="G119" t="s">
        <v>1073</v>
      </c>
      <c r="I119" t="s">
        <v>758</v>
      </c>
      <c r="M119" t="s">
        <v>1053</v>
      </c>
      <c r="N119" t="s">
        <v>1074</v>
      </c>
      <c r="Q119" t="s">
        <v>1075</v>
      </c>
      <c r="R119" t="s">
        <v>1076</v>
      </c>
    </row>
    <row r="120" spans="2:18">
      <c r="B120" t="s">
        <v>1077</v>
      </c>
      <c r="R120" t="s">
        <v>1078</v>
      </c>
    </row>
    <row r="121" spans="2:18">
      <c r="B121" t="s">
        <v>1079</v>
      </c>
    </row>
    <row r="122" spans="2:18">
      <c r="B122" t="s">
        <v>31</v>
      </c>
      <c r="I122" t="s">
        <v>759</v>
      </c>
      <c r="N122" t="s">
        <v>1080</v>
      </c>
      <c r="Q122" t="s">
        <v>1081</v>
      </c>
      <c r="R122" t="s">
        <v>1082</v>
      </c>
    </row>
    <row r="123" spans="2:18">
      <c r="B123" t="s">
        <v>940</v>
      </c>
      <c r="I123" t="s">
        <v>1083</v>
      </c>
      <c r="N123" t="s">
        <v>1084</v>
      </c>
      <c r="Q123" t="s">
        <v>1085</v>
      </c>
      <c r="R123" t="s">
        <v>1086</v>
      </c>
    </row>
    <row r="124" spans="2:18">
      <c r="B124" t="s">
        <v>1087</v>
      </c>
    </row>
    <row r="125" spans="2:18">
      <c r="B125" t="s">
        <v>1088</v>
      </c>
    </row>
    <row r="126" spans="2:18">
      <c r="B126" t="s">
        <v>1088</v>
      </c>
    </row>
    <row r="127" spans="2:18">
      <c r="B127" t="s">
        <v>1089</v>
      </c>
      <c r="I127" t="s">
        <v>760</v>
      </c>
      <c r="R127" t="s">
        <v>1090</v>
      </c>
    </row>
    <row r="128" spans="2:18">
      <c r="B128" t="s">
        <v>1091</v>
      </c>
      <c r="I128" t="s">
        <v>1092</v>
      </c>
      <c r="N128" t="s">
        <v>1093</v>
      </c>
      <c r="Q128" t="s">
        <v>1094</v>
      </c>
      <c r="R128" t="s">
        <v>1095</v>
      </c>
    </row>
    <row r="129" spans="2:18">
      <c r="B129" t="s">
        <v>31</v>
      </c>
    </row>
    <row r="130" spans="2:18">
      <c r="B130" t="s">
        <v>31</v>
      </c>
      <c r="I130" t="s">
        <v>761</v>
      </c>
      <c r="N130" t="s">
        <v>1096</v>
      </c>
      <c r="Q130" t="s">
        <v>1097</v>
      </c>
      <c r="R130" t="s">
        <v>1098</v>
      </c>
    </row>
    <row r="131" spans="2:18">
      <c r="B131" t="s">
        <v>31</v>
      </c>
    </row>
    <row r="132" spans="2:18">
      <c r="B132" t="s">
        <v>31</v>
      </c>
    </row>
    <row r="133" spans="2:18">
      <c r="B133" t="s">
        <v>31</v>
      </c>
    </row>
    <row r="134" spans="2:18">
      <c r="B134" t="s">
        <v>31</v>
      </c>
    </row>
    <row r="135" spans="2:18">
      <c r="B135" t="s">
        <v>31</v>
      </c>
    </row>
    <row r="136" spans="2:18">
      <c r="B136" t="s">
        <v>1099</v>
      </c>
    </row>
    <row r="137" spans="2:18">
      <c r="B137" t="s">
        <v>1100</v>
      </c>
    </row>
    <row r="138" spans="2:18">
      <c r="B138" t="s">
        <v>1101</v>
      </c>
      <c r="N138" t="s">
        <v>762</v>
      </c>
    </row>
    <row r="139" spans="2:18">
      <c r="B139" t="s">
        <v>1102</v>
      </c>
      <c r="N139" t="s">
        <v>1103</v>
      </c>
      <c r="Q139" t="s">
        <v>1104</v>
      </c>
    </row>
    <row r="140" spans="2:18">
      <c r="B140" t="s">
        <v>1105</v>
      </c>
    </row>
    <row r="141" spans="2:18">
      <c r="B141" t="s">
        <v>1106</v>
      </c>
      <c r="D141" t="s">
        <v>71</v>
      </c>
      <c r="I141" t="s">
        <v>66</v>
      </c>
      <c r="N141" t="s">
        <v>1107</v>
      </c>
      <c r="Q141" t="s">
        <v>1108</v>
      </c>
    </row>
    <row r="142" spans="2:18">
      <c r="B142" t="s">
        <v>1109</v>
      </c>
      <c r="D142" t="s">
        <v>72</v>
      </c>
      <c r="I142" t="s">
        <v>763</v>
      </c>
      <c r="N142" t="s">
        <v>1110</v>
      </c>
      <c r="Q142" t="s">
        <v>1111</v>
      </c>
    </row>
    <row r="143" spans="2:18">
      <c r="B143" t="s">
        <v>1112</v>
      </c>
      <c r="I143" t="s">
        <v>764</v>
      </c>
      <c r="N143" t="s">
        <v>1113</v>
      </c>
      <c r="Q143" t="s">
        <v>1114</v>
      </c>
    </row>
    <row r="144" spans="2:18">
      <c r="B144" t="s">
        <v>1109</v>
      </c>
    </row>
    <row r="145" spans="2:17">
      <c r="B145" t="s">
        <v>1115</v>
      </c>
      <c r="D145" t="s">
        <v>765</v>
      </c>
      <c r="N145" t="s">
        <v>1116</v>
      </c>
      <c r="Q145" t="s">
        <v>1117</v>
      </c>
    </row>
    <row r="146" spans="2:17">
      <c r="B146" t="s">
        <v>1118</v>
      </c>
      <c r="D146" t="s">
        <v>74</v>
      </c>
      <c r="N146" t="s">
        <v>1119</v>
      </c>
      <c r="Q146" t="s">
        <v>1120</v>
      </c>
    </row>
    <row r="147" spans="2:17">
      <c r="B147" t="s">
        <v>1121</v>
      </c>
      <c r="N147" t="s">
        <v>766</v>
      </c>
    </row>
    <row r="148" spans="2:17">
      <c r="B148" t="s">
        <v>1122</v>
      </c>
      <c r="N148" t="s">
        <v>1123</v>
      </c>
      <c r="Q148" t="s">
        <v>1124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7"/>
  <sheetViews>
    <sheetView workbookViewId="0"/>
  </sheetViews>
  <sheetFormatPr defaultRowHeight="12.75"/>
  <sheetData>
    <row r="1" spans="1:5">
      <c r="A1" t="s">
        <v>1125</v>
      </c>
      <c r="B1" t="s">
        <v>53</v>
      </c>
      <c r="C1" t="s">
        <v>31</v>
      </c>
    </row>
    <row r="2" spans="1:5">
      <c r="A2" t="s">
        <v>53</v>
      </c>
      <c r="B2" t="s">
        <v>54</v>
      </c>
      <c r="C2" t="s">
        <v>55</v>
      </c>
    </row>
    <row r="3" spans="1:5">
      <c r="A3" t="s">
        <v>31</v>
      </c>
      <c r="C3" t="s">
        <v>1126</v>
      </c>
    </row>
    <row r="4" spans="1:5">
      <c r="A4" t="s">
        <v>31</v>
      </c>
      <c r="C4" t="s">
        <v>1127</v>
      </c>
      <c r="E4" t="s">
        <v>58</v>
      </c>
    </row>
    <row r="5" spans="1:5">
      <c r="A5" t="s">
        <v>31</v>
      </c>
      <c r="C5" t="s">
        <v>59</v>
      </c>
    </row>
    <row r="6" spans="1:5">
      <c r="A6" t="s">
        <v>31</v>
      </c>
      <c r="C6" t="s">
        <v>1128</v>
      </c>
    </row>
    <row r="7" spans="1:5">
      <c r="A7" t="s">
        <v>31</v>
      </c>
      <c r="C7" t="s">
        <v>1129</v>
      </c>
    </row>
    <row r="8" spans="1:5">
      <c r="A8" t="s">
        <v>31</v>
      </c>
      <c r="C8" t="s">
        <v>1130</v>
      </c>
    </row>
    <row r="9" spans="1:5">
      <c r="A9" t="s">
        <v>31</v>
      </c>
      <c r="C9" t="s">
        <v>1131</v>
      </c>
    </row>
    <row r="10" spans="1:5">
      <c r="A10" t="s">
        <v>31</v>
      </c>
    </row>
    <row r="11" spans="1:5">
      <c r="A11" t="s">
        <v>31</v>
      </c>
    </row>
    <row r="12" spans="1:5">
      <c r="A12" t="s">
        <v>62</v>
      </c>
    </row>
    <row r="13" spans="1:5">
      <c r="A13" t="s">
        <v>62</v>
      </c>
    </row>
    <row r="14" spans="1:5">
      <c r="A14" t="s">
        <v>62</v>
      </c>
    </row>
    <row r="15" spans="1:5">
      <c r="A15" t="s">
        <v>62</v>
      </c>
    </row>
    <row r="16" spans="1:5">
      <c r="A16" t="s">
        <v>63</v>
      </c>
    </row>
    <row r="18" spans="4:9">
      <c r="I18" t="s">
        <v>64</v>
      </c>
    </row>
    <row r="19" spans="4:9">
      <c r="D19" t="s">
        <v>65</v>
      </c>
      <c r="E19" t="s">
        <v>66</v>
      </c>
      <c r="F19" t="s">
        <v>67</v>
      </c>
      <c r="G19" t="s">
        <v>68</v>
      </c>
      <c r="H19" t="s">
        <v>69</v>
      </c>
      <c r="I19" t="s">
        <v>70</v>
      </c>
    </row>
    <row r="21" spans="4:9">
      <c r="E21" t="s">
        <v>71</v>
      </c>
      <c r="F21" t="s">
        <v>72</v>
      </c>
      <c r="G21" t="s">
        <v>73</v>
      </c>
      <c r="H21" t="s">
        <v>74</v>
      </c>
    </row>
    <row r="22" spans="4:9">
      <c r="D22" t="s">
        <v>1132</v>
      </c>
      <c r="E22" t="s">
        <v>1133</v>
      </c>
      <c r="F22" t="s">
        <v>1134</v>
      </c>
      <c r="G22" t="s">
        <v>1135</v>
      </c>
      <c r="H22" t="s">
        <v>1136</v>
      </c>
      <c r="I22" t="s">
        <v>1137</v>
      </c>
    </row>
    <row r="24" spans="4:9">
      <c r="I24" t="s">
        <v>1138</v>
      </c>
    </row>
    <row r="25" spans="4:9">
      <c r="I25" t="s">
        <v>1139</v>
      </c>
    </row>
    <row r="26" spans="4:9">
      <c r="I26" t="s">
        <v>1140</v>
      </c>
    </row>
    <row r="27" spans="4:9">
      <c r="I27" t="s">
        <v>1141</v>
      </c>
    </row>
    <row r="32" spans="4:9">
      <c r="F32" t="s">
        <v>1142</v>
      </c>
    </row>
    <row r="34" spans="6:6">
      <c r="F34" t="s">
        <v>1143</v>
      </c>
    </row>
    <row r="35" spans="6:6">
      <c r="F35" t="s">
        <v>1144</v>
      </c>
    </row>
    <row r="36" spans="6:6">
      <c r="F36" t="s">
        <v>1145</v>
      </c>
    </row>
    <row r="37" spans="6:6">
      <c r="F37" t="s">
        <v>1146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7"/>
  <sheetViews>
    <sheetView workbookViewId="0"/>
  </sheetViews>
  <sheetFormatPr defaultRowHeight="12.75"/>
  <sheetData>
    <row r="1" spans="1:5">
      <c r="A1" t="s">
        <v>1125</v>
      </c>
      <c r="B1" t="s">
        <v>53</v>
      </c>
      <c r="C1" t="s">
        <v>31</v>
      </c>
    </row>
    <row r="2" spans="1:5">
      <c r="A2" t="s">
        <v>53</v>
      </c>
      <c r="B2" t="s">
        <v>54</v>
      </c>
      <c r="C2" t="s">
        <v>55</v>
      </c>
    </row>
    <row r="3" spans="1:5">
      <c r="A3" t="s">
        <v>31</v>
      </c>
      <c r="C3" t="s">
        <v>1126</v>
      </c>
    </row>
    <row r="4" spans="1:5">
      <c r="A4" t="s">
        <v>31</v>
      </c>
      <c r="C4" t="s">
        <v>1127</v>
      </c>
      <c r="E4" t="s">
        <v>58</v>
      </c>
    </row>
    <row r="5" spans="1:5">
      <c r="A5" t="s">
        <v>31</v>
      </c>
      <c r="C5" t="s">
        <v>59</v>
      </c>
    </row>
    <row r="6" spans="1:5">
      <c r="A6" t="s">
        <v>31</v>
      </c>
      <c r="C6" t="s">
        <v>1128</v>
      </c>
    </row>
    <row r="7" spans="1:5">
      <c r="A7" t="s">
        <v>31</v>
      </c>
      <c r="C7" t="s">
        <v>1129</v>
      </c>
    </row>
    <row r="8" spans="1:5">
      <c r="A8" t="s">
        <v>31</v>
      </c>
      <c r="C8" t="s">
        <v>1130</v>
      </c>
    </row>
    <row r="9" spans="1:5">
      <c r="A9" t="s">
        <v>31</v>
      </c>
      <c r="C9" t="s">
        <v>1131</v>
      </c>
    </row>
    <row r="10" spans="1:5">
      <c r="A10" t="s">
        <v>31</v>
      </c>
    </row>
    <row r="11" spans="1:5">
      <c r="A11" t="s">
        <v>31</v>
      </c>
    </row>
    <row r="12" spans="1:5">
      <c r="A12" t="s">
        <v>62</v>
      </c>
    </row>
    <row r="13" spans="1:5">
      <c r="A13" t="s">
        <v>62</v>
      </c>
    </row>
    <row r="14" spans="1:5">
      <c r="A14" t="s">
        <v>62</v>
      </c>
    </row>
    <row r="15" spans="1:5">
      <c r="A15" t="s">
        <v>62</v>
      </c>
    </row>
    <row r="16" spans="1:5">
      <c r="A16" t="s">
        <v>63</v>
      </c>
    </row>
    <row r="18" spans="4:9">
      <c r="I18" t="s">
        <v>64</v>
      </c>
    </row>
    <row r="19" spans="4:9">
      <c r="D19" t="s">
        <v>65</v>
      </c>
      <c r="E19" t="s">
        <v>66</v>
      </c>
      <c r="F19" t="s">
        <v>67</v>
      </c>
      <c r="G19" t="s">
        <v>68</v>
      </c>
      <c r="H19" t="s">
        <v>69</v>
      </c>
      <c r="I19" t="s">
        <v>70</v>
      </c>
    </row>
    <row r="21" spans="4:9">
      <c r="E21" t="s">
        <v>71</v>
      </c>
      <c r="F21" t="s">
        <v>72</v>
      </c>
      <c r="G21" t="s">
        <v>73</v>
      </c>
      <c r="H21" t="s">
        <v>74</v>
      </c>
    </row>
    <row r="22" spans="4:9">
      <c r="D22" t="s">
        <v>1132</v>
      </c>
      <c r="E22" t="s">
        <v>1133</v>
      </c>
      <c r="F22" t="s">
        <v>1134</v>
      </c>
      <c r="G22" t="s">
        <v>1135</v>
      </c>
      <c r="H22" t="s">
        <v>1136</v>
      </c>
      <c r="I22" t="s">
        <v>1137</v>
      </c>
    </row>
    <row r="24" spans="4:9">
      <c r="I24" t="s">
        <v>1138</v>
      </c>
    </row>
    <row r="25" spans="4:9">
      <c r="I25" t="s">
        <v>1139</v>
      </c>
    </row>
    <row r="26" spans="4:9">
      <c r="I26" t="s">
        <v>1140</v>
      </c>
    </row>
    <row r="27" spans="4:9">
      <c r="I27" t="s">
        <v>1141</v>
      </c>
    </row>
    <row r="32" spans="4:9">
      <c r="F32" t="s">
        <v>1142</v>
      </c>
    </row>
    <row r="34" spans="6:6">
      <c r="F34" t="s">
        <v>1143</v>
      </c>
    </row>
    <row r="35" spans="6:6">
      <c r="F35" t="s">
        <v>1144</v>
      </c>
    </row>
    <row r="36" spans="6:6">
      <c r="F36" t="s">
        <v>1145</v>
      </c>
    </row>
    <row r="37" spans="6:6">
      <c r="F37" t="s">
        <v>1146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18"/>
  <sheetViews>
    <sheetView workbookViewId="0"/>
  </sheetViews>
  <sheetFormatPr defaultRowHeight="12.75"/>
  <sheetData>
    <row r="1" spans="1:10">
      <c r="A1" t="s">
        <v>1147</v>
      </c>
      <c r="C1" t="s">
        <v>81</v>
      </c>
      <c r="D1" t="s">
        <v>82</v>
      </c>
      <c r="E1" t="s">
        <v>83</v>
      </c>
    </row>
    <row r="3" spans="1:10">
      <c r="A3" t="s">
        <v>84</v>
      </c>
      <c r="C3" t="s">
        <v>85</v>
      </c>
      <c r="D3" t="s">
        <v>1148</v>
      </c>
      <c r="E3" t="s">
        <v>1149</v>
      </c>
    </row>
    <row r="4" spans="1:10">
      <c r="A4" t="s">
        <v>84</v>
      </c>
      <c r="C4" t="s">
        <v>86</v>
      </c>
      <c r="D4" t="s">
        <v>1150</v>
      </c>
    </row>
    <row r="5" spans="1:10">
      <c r="A5" t="s">
        <v>84</v>
      </c>
      <c r="C5" t="s">
        <v>87</v>
      </c>
      <c r="D5" t="s">
        <v>1151</v>
      </c>
    </row>
    <row r="6" spans="1:10">
      <c r="A6" t="s">
        <v>84</v>
      </c>
      <c r="C6" t="s">
        <v>65</v>
      </c>
      <c r="D6" t="s">
        <v>60</v>
      </c>
      <c r="E6" t="s">
        <v>1152</v>
      </c>
    </row>
    <row r="7" spans="1:10">
      <c r="A7" t="s">
        <v>84</v>
      </c>
      <c r="C7" t="s">
        <v>88</v>
      </c>
      <c r="D7" t="s">
        <v>1153</v>
      </c>
      <c r="E7" t="s">
        <v>1154</v>
      </c>
      <c r="F7" t="s">
        <v>830</v>
      </c>
      <c r="G7" t="s">
        <v>1155</v>
      </c>
      <c r="H7" t="s">
        <v>1156</v>
      </c>
      <c r="I7" t="s">
        <v>1157</v>
      </c>
      <c r="J7" t="s">
        <v>111</v>
      </c>
    </row>
    <row r="8" spans="1:10">
      <c r="A8" t="s">
        <v>84</v>
      </c>
      <c r="C8" t="s">
        <v>89</v>
      </c>
      <c r="D8" t="s">
        <v>1153</v>
      </c>
      <c r="E8" t="s">
        <v>1158</v>
      </c>
      <c r="F8" t="s">
        <v>830</v>
      </c>
      <c r="G8" t="s">
        <v>1155</v>
      </c>
      <c r="H8" t="s">
        <v>1156</v>
      </c>
    </row>
    <row r="9" spans="1:10">
      <c r="A9" t="s">
        <v>84</v>
      </c>
      <c r="C9" t="s">
        <v>90</v>
      </c>
      <c r="D9" t="s">
        <v>91</v>
      </c>
      <c r="E9" t="s">
        <v>1159</v>
      </c>
      <c r="F9" t="s">
        <v>91</v>
      </c>
      <c r="G9" t="s">
        <v>92</v>
      </c>
    </row>
    <row r="10" spans="1:10">
      <c r="A10" t="s">
        <v>84</v>
      </c>
      <c r="C10" t="s">
        <v>93</v>
      </c>
      <c r="D10" t="s">
        <v>91</v>
      </c>
      <c r="E10" t="s">
        <v>1160</v>
      </c>
      <c r="F10" t="s">
        <v>91</v>
      </c>
      <c r="G10" t="s">
        <v>92</v>
      </c>
    </row>
    <row r="11" spans="1:10">
      <c r="A11" t="s">
        <v>84</v>
      </c>
      <c r="C11" t="s">
        <v>94</v>
      </c>
      <c r="D11" t="s">
        <v>92</v>
      </c>
      <c r="E11" t="s">
        <v>1161</v>
      </c>
      <c r="F11" t="s">
        <v>91</v>
      </c>
      <c r="G11" t="s">
        <v>92</v>
      </c>
    </row>
    <row r="12" spans="1:10">
      <c r="A12" t="s">
        <v>84</v>
      </c>
      <c r="C12" t="s">
        <v>95</v>
      </c>
      <c r="D12" t="s">
        <v>92</v>
      </c>
      <c r="E12" t="s">
        <v>1162</v>
      </c>
      <c r="F12" t="s">
        <v>91</v>
      </c>
      <c r="G12" t="s">
        <v>92</v>
      </c>
    </row>
    <row r="13" spans="1:10">
      <c r="A13" t="s">
        <v>84</v>
      </c>
      <c r="C13" t="s">
        <v>96</v>
      </c>
      <c r="D13" t="s">
        <v>92</v>
      </c>
      <c r="E13" t="s">
        <v>1163</v>
      </c>
      <c r="F13" t="s">
        <v>91</v>
      </c>
      <c r="G13" t="s">
        <v>92</v>
      </c>
    </row>
    <row r="14" spans="1:10">
      <c r="A14" t="s">
        <v>84</v>
      </c>
      <c r="C14" t="s">
        <v>97</v>
      </c>
      <c r="D14" t="s">
        <v>92</v>
      </c>
      <c r="E14" t="s">
        <v>1164</v>
      </c>
      <c r="F14" t="s">
        <v>91</v>
      </c>
      <c r="G14" t="s">
        <v>92</v>
      </c>
    </row>
    <row r="15" spans="1:10">
      <c r="A15" t="s">
        <v>84</v>
      </c>
      <c r="C15" t="s">
        <v>98</v>
      </c>
      <c r="D15" t="s">
        <v>99</v>
      </c>
      <c r="E15" t="s">
        <v>1165</v>
      </c>
    </row>
    <row r="16" spans="1:10">
      <c r="A16" t="s">
        <v>84</v>
      </c>
      <c r="C16" t="s">
        <v>100</v>
      </c>
      <c r="D16" t="s">
        <v>92</v>
      </c>
      <c r="E16" t="s">
        <v>1166</v>
      </c>
      <c r="F16" t="s">
        <v>91</v>
      </c>
      <c r="G16" t="s">
        <v>92</v>
      </c>
    </row>
    <row r="17" spans="1:7">
      <c r="A17" t="s">
        <v>84</v>
      </c>
      <c r="C17" t="s">
        <v>101</v>
      </c>
      <c r="D17" t="s">
        <v>92</v>
      </c>
      <c r="E17" t="s">
        <v>1167</v>
      </c>
      <c r="F17" t="s">
        <v>91</v>
      </c>
      <c r="G17" t="s">
        <v>92</v>
      </c>
    </row>
    <row r="18" spans="1:7">
      <c r="A18" t="s">
        <v>84</v>
      </c>
      <c r="C18" t="s">
        <v>102</v>
      </c>
      <c r="D18" t="s">
        <v>92</v>
      </c>
      <c r="E18" t="s">
        <v>1168</v>
      </c>
      <c r="F18" t="s">
        <v>91</v>
      </c>
      <c r="G18" t="s">
        <v>92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8"/>
  <sheetViews>
    <sheetView workbookViewId="0"/>
  </sheetViews>
  <sheetFormatPr defaultRowHeight="12.75"/>
  <sheetData>
    <row r="1" spans="1:10">
      <c r="A1" t="s">
        <v>1147</v>
      </c>
      <c r="C1" t="s">
        <v>81</v>
      </c>
      <c r="D1" t="s">
        <v>82</v>
      </c>
      <c r="E1" t="s">
        <v>83</v>
      </c>
    </row>
    <row r="3" spans="1:10">
      <c r="A3" t="s">
        <v>84</v>
      </c>
      <c r="C3" t="s">
        <v>85</v>
      </c>
      <c r="D3" t="s">
        <v>1148</v>
      </c>
      <c r="E3" t="s">
        <v>1149</v>
      </c>
    </row>
    <row r="4" spans="1:10">
      <c r="A4" t="s">
        <v>84</v>
      </c>
      <c r="C4" t="s">
        <v>86</v>
      </c>
      <c r="D4" t="s">
        <v>1150</v>
      </c>
    </row>
    <row r="5" spans="1:10">
      <c r="A5" t="s">
        <v>84</v>
      </c>
      <c r="C5" t="s">
        <v>87</v>
      </c>
      <c r="D5" t="s">
        <v>1151</v>
      </c>
    </row>
    <row r="6" spans="1:10">
      <c r="A6" t="s">
        <v>84</v>
      </c>
      <c r="C6" t="s">
        <v>65</v>
      </c>
      <c r="D6" t="s">
        <v>60</v>
      </c>
      <c r="E6" t="s">
        <v>1152</v>
      </c>
    </row>
    <row r="7" spans="1:10">
      <c r="A7" t="s">
        <v>84</v>
      </c>
      <c r="C7" t="s">
        <v>88</v>
      </c>
      <c r="D7" t="s">
        <v>1153</v>
      </c>
      <c r="E7" t="s">
        <v>1154</v>
      </c>
      <c r="F7" t="s">
        <v>830</v>
      </c>
      <c r="G7" t="s">
        <v>1155</v>
      </c>
      <c r="H7" t="s">
        <v>1156</v>
      </c>
      <c r="I7" t="s">
        <v>1157</v>
      </c>
      <c r="J7" t="s">
        <v>111</v>
      </c>
    </row>
    <row r="8" spans="1:10">
      <c r="A8" t="s">
        <v>84</v>
      </c>
      <c r="C8" t="s">
        <v>89</v>
      </c>
      <c r="D8" t="s">
        <v>1153</v>
      </c>
      <c r="E8" t="s">
        <v>1158</v>
      </c>
      <c r="F8" t="s">
        <v>830</v>
      </c>
      <c r="G8" t="s">
        <v>1155</v>
      </c>
      <c r="H8" t="s">
        <v>1156</v>
      </c>
    </row>
    <row r="9" spans="1:10">
      <c r="A9" t="s">
        <v>84</v>
      </c>
      <c r="C9" t="s">
        <v>90</v>
      </c>
      <c r="D9" t="s">
        <v>91</v>
      </c>
      <c r="E9" t="s">
        <v>1159</v>
      </c>
      <c r="F9" t="s">
        <v>91</v>
      </c>
      <c r="G9" t="s">
        <v>92</v>
      </c>
    </row>
    <row r="10" spans="1:10">
      <c r="A10" t="s">
        <v>84</v>
      </c>
      <c r="C10" t="s">
        <v>93</v>
      </c>
      <c r="D10" t="s">
        <v>91</v>
      </c>
      <c r="E10" t="s">
        <v>1160</v>
      </c>
      <c r="F10" t="s">
        <v>91</v>
      </c>
      <c r="G10" t="s">
        <v>92</v>
      </c>
    </row>
    <row r="11" spans="1:10">
      <c r="A11" t="s">
        <v>84</v>
      </c>
      <c r="C11" t="s">
        <v>94</v>
      </c>
      <c r="D11" t="s">
        <v>92</v>
      </c>
      <c r="E11" t="s">
        <v>1161</v>
      </c>
      <c r="F11" t="s">
        <v>91</v>
      </c>
      <c r="G11" t="s">
        <v>92</v>
      </c>
    </row>
    <row r="12" spans="1:10">
      <c r="A12" t="s">
        <v>84</v>
      </c>
      <c r="C12" t="s">
        <v>95</v>
      </c>
      <c r="D12" t="s">
        <v>92</v>
      </c>
      <c r="E12" t="s">
        <v>1162</v>
      </c>
      <c r="F12" t="s">
        <v>91</v>
      </c>
      <c r="G12" t="s">
        <v>92</v>
      </c>
    </row>
    <row r="13" spans="1:10">
      <c r="A13" t="s">
        <v>84</v>
      </c>
      <c r="C13" t="s">
        <v>96</v>
      </c>
      <c r="D13" t="s">
        <v>92</v>
      </c>
      <c r="E13" t="s">
        <v>1163</v>
      </c>
      <c r="F13" t="s">
        <v>91</v>
      </c>
      <c r="G13" t="s">
        <v>92</v>
      </c>
    </row>
    <row r="14" spans="1:10">
      <c r="A14" t="s">
        <v>84</v>
      </c>
      <c r="C14" t="s">
        <v>97</v>
      </c>
      <c r="D14" t="s">
        <v>92</v>
      </c>
      <c r="E14" t="s">
        <v>1164</v>
      </c>
      <c r="F14" t="s">
        <v>91</v>
      </c>
      <c r="G14" t="s">
        <v>92</v>
      </c>
    </row>
    <row r="15" spans="1:10">
      <c r="A15" t="s">
        <v>84</v>
      </c>
      <c r="C15" t="s">
        <v>98</v>
      </c>
      <c r="D15" t="s">
        <v>99</v>
      </c>
      <c r="E15" t="s">
        <v>1165</v>
      </c>
    </row>
    <row r="16" spans="1:10">
      <c r="A16" t="s">
        <v>84</v>
      </c>
      <c r="C16" t="s">
        <v>100</v>
      </c>
      <c r="D16" t="s">
        <v>92</v>
      </c>
      <c r="E16" t="s">
        <v>1166</v>
      </c>
      <c r="F16" t="s">
        <v>91</v>
      </c>
      <c r="G16" t="s">
        <v>92</v>
      </c>
    </row>
    <row r="17" spans="1:7">
      <c r="A17" t="s">
        <v>84</v>
      </c>
      <c r="C17" t="s">
        <v>101</v>
      </c>
      <c r="D17" t="s">
        <v>92</v>
      </c>
      <c r="E17" t="s">
        <v>1167</v>
      </c>
      <c r="F17" t="s">
        <v>91</v>
      </c>
      <c r="G17" t="s">
        <v>92</v>
      </c>
    </row>
    <row r="18" spans="1:7">
      <c r="A18" t="s">
        <v>84</v>
      </c>
      <c r="C18" t="s">
        <v>102</v>
      </c>
      <c r="D18" t="s">
        <v>92</v>
      </c>
      <c r="E18" t="s">
        <v>1168</v>
      </c>
      <c r="F18" t="s">
        <v>91</v>
      </c>
      <c r="G18" t="s">
        <v>92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BF147"/>
  <sheetViews>
    <sheetView workbookViewId="0"/>
  </sheetViews>
  <sheetFormatPr defaultRowHeight="12.75"/>
  <sheetData>
    <row r="1" spans="1:58">
      <c r="A1" t="s">
        <v>1169</v>
      </c>
      <c r="B1" t="s">
        <v>53</v>
      </c>
      <c r="C1" t="s">
        <v>31</v>
      </c>
      <c r="D1" t="s">
        <v>31</v>
      </c>
      <c r="E1" t="s">
        <v>31</v>
      </c>
      <c r="F1" t="s">
        <v>31</v>
      </c>
      <c r="G1" t="s">
        <v>234</v>
      </c>
      <c r="H1" t="s">
        <v>31</v>
      </c>
      <c r="I1" t="s">
        <v>31</v>
      </c>
      <c r="J1" t="s">
        <v>31</v>
      </c>
      <c r="K1" t="s">
        <v>31</v>
      </c>
      <c r="L1" t="s">
        <v>235</v>
      </c>
      <c r="M1" t="s">
        <v>235</v>
      </c>
      <c r="N1" t="s">
        <v>235</v>
      </c>
      <c r="O1" t="s">
        <v>235</v>
      </c>
      <c r="P1" t="s">
        <v>1170</v>
      </c>
      <c r="Q1" t="s">
        <v>1171</v>
      </c>
      <c r="R1" t="s">
        <v>62</v>
      </c>
      <c r="S1" t="s">
        <v>31</v>
      </c>
      <c r="T1" t="s">
        <v>31</v>
      </c>
      <c r="V1" t="s">
        <v>1172</v>
      </c>
      <c r="W1" t="s">
        <v>1173</v>
      </c>
      <c r="X1" t="s">
        <v>1174</v>
      </c>
      <c r="Y1" t="s">
        <v>1175</v>
      </c>
      <c r="Z1" t="s">
        <v>1176</v>
      </c>
      <c r="AA1" t="s">
        <v>1177</v>
      </c>
      <c r="AB1" t="s">
        <v>1178</v>
      </c>
      <c r="AC1" t="s">
        <v>1179</v>
      </c>
      <c r="AD1" t="s">
        <v>1180</v>
      </c>
      <c r="AE1" t="s">
        <v>1181</v>
      </c>
      <c r="AF1" t="s">
        <v>1182</v>
      </c>
      <c r="AG1" t="s">
        <v>1183</v>
      </c>
      <c r="AH1" t="s">
        <v>1184</v>
      </c>
      <c r="AI1" t="s">
        <v>1185</v>
      </c>
      <c r="AJ1" t="s">
        <v>1186</v>
      </c>
      <c r="AK1" t="s">
        <v>1185</v>
      </c>
      <c r="AL1" t="s">
        <v>62</v>
      </c>
      <c r="AM1" t="s">
        <v>1187</v>
      </c>
      <c r="AN1" t="s">
        <v>31</v>
      </c>
      <c r="AO1" t="s">
        <v>31</v>
      </c>
      <c r="AP1" t="s">
        <v>236</v>
      </c>
      <c r="AQ1" t="s">
        <v>31</v>
      </c>
      <c r="AS1" t="s">
        <v>236</v>
      </c>
      <c r="AT1" t="s">
        <v>237</v>
      </c>
      <c r="AU1" t="s">
        <v>237</v>
      </c>
      <c r="AV1" t="s">
        <v>237</v>
      </c>
      <c r="AW1" t="s">
        <v>237</v>
      </c>
      <c r="AX1" t="s">
        <v>237</v>
      </c>
      <c r="AY1" t="s">
        <v>237</v>
      </c>
      <c r="AZ1" t="s">
        <v>237</v>
      </c>
      <c r="BA1" t="s">
        <v>237</v>
      </c>
      <c r="BB1" t="s">
        <v>237</v>
      </c>
      <c r="BC1" t="s">
        <v>237</v>
      </c>
      <c r="BD1" t="s">
        <v>237</v>
      </c>
      <c r="BE1" t="s">
        <v>237</v>
      </c>
      <c r="BF1" t="s">
        <v>237</v>
      </c>
    </row>
    <row r="2" spans="1:58">
      <c r="B2" t="s">
        <v>1188</v>
      </c>
      <c r="C2" t="s">
        <v>1189</v>
      </c>
      <c r="T2" t="s">
        <v>1190</v>
      </c>
      <c r="V2" t="s">
        <v>1191</v>
      </c>
      <c r="X2" t="s">
        <v>1192</v>
      </c>
      <c r="Z2" t="s">
        <v>1193</v>
      </c>
      <c r="AB2" t="s">
        <v>1194</v>
      </c>
      <c r="AD2" t="s">
        <v>1195</v>
      </c>
      <c r="AF2" t="s">
        <v>1196</v>
      </c>
      <c r="AH2" t="s">
        <v>1190</v>
      </c>
      <c r="AJ2" t="s">
        <v>1197</v>
      </c>
    </row>
    <row r="3" spans="1:58">
      <c r="B3" t="s">
        <v>31</v>
      </c>
      <c r="C3" t="s">
        <v>1198</v>
      </c>
      <c r="H3" t="s">
        <v>238</v>
      </c>
      <c r="I3" t="s">
        <v>239</v>
      </c>
      <c r="J3" t="s">
        <v>240</v>
      </c>
      <c r="T3" t="s">
        <v>1199</v>
      </c>
      <c r="V3" t="s">
        <v>1200</v>
      </c>
      <c r="X3" t="s">
        <v>1201</v>
      </c>
      <c r="Z3" t="s">
        <v>1202</v>
      </c>
      <c r="AB3" t="s">
        <v>1203</v>
      </c>
      <c r="AD3" t="s">
        <v>1204</v>
      </c>
      <c r="AF3" t="s">
        <v>1205</v>
      </c>
      <c r="AH3" t="s">
        <v>1199</v>
      </c>
      <c r="AJ3" t="s">
        <v>1206</v>
      </c>
      <c r="AN3" t="s">
        <v>1207</v>
      </c>
      <c r="AP3" t="s">
        <v>1207</v>
      </c>
    </row>
    <row r="4" spans="1:58">
      <c r="B4" t="s">
        <v>31</v>
      </c>
      <c r="E4" t="s">
        <v>248</v>
      </c>
      <c r="F4" t="s">
        <v>1208</v>
      </c>
      <c r="H4" t="s">
        <v>1209</v>
      </c>
      <c r="I4" t="s">
        <v>1210</v>
      </c>
      <c r="J4" t="s">
        <v>1211</v>
      </c>
      <c r="T4" t="s">
        <v>251</v>
      </c>
      <c r="V4" t="s">
        <v>251</v>
      </c>
      <c r="X4" t="s">
        <v>251</v>
      </c>
      <c r="Z4" t="s">
        <v>251</v>
      </c>
      <c r="AB4" t="s">
        <v>251</v>
      </c>
      <c r="AD4" t="s">
        <v>252</v>
      </c>
      <c r="AF4" t="s">
        <v>252</v>
      </c>
      <c r="AH4" t="s">
        <v>251</v>
      </c>
      <c r="AJ4" t="s">
        <v>252</v>
      </c>
      <c r="AL4" t="s">
        <v>252</v>
      </c>
      <c r="AN4" t="s">
        <v>252</v>
      </c>
      <c r="AP4" t="s">
        <v>252</v>
      </c>
    </row>
    <row r="5" spans="1:58">
      <c r="B5" t="s">
        <v>31</v>
      </c>
      <c r="C5" t="s">
        <v>253</v>
      </c>
      <c r="D5" t="s">
        <v>74</v>
      </c>
      <c r="E5" t="s">
        <v>87</v>
      </c>
      <c r="F5" t="s">
        <v>803</v>
      </c>
      <c r="H5" t="s">
        <v>1212</v>
      </c>
      <c r="I5" t="s">
        <v>1213</v>
      </c>
      <c r="J5" t="s">
        <v>1214</v>
      </c>
      <c r="T5" t="s">
        <v>1215</v>
      </c>
      <c r="V5" t="s">
        <v>1216</v>
      </c>
      <c r="X5" t="s">
        <v>1217</v>
      </c>
      <c r="Z5" t="s">
        <v>1218</v>
      </c>
      <c r="AB5" t="s">
        <v>1219</v>
      </c>
      <c r="AD5" t="s">
        <v>1220</v>
      </c>
      <c r="AF5" t="s">
        <v>1221</v>
      </c>
      <c r="AH5" t="s">
        <v>1215</v>
      </c>
      <c r="AJ5" t="s">
        <v>1222</v>
      </c>
      <c r="AN5" t="s">
        <v>1223</v>
      </c>
      <c r="AP5" t="s">
        <v>1223</v>
      </c>
    </row>
    <row r="6" spans="1:58">
      <c r="B6" t="s">
        <v>31</v>
      </c>
      <c r="C6" t="s">
        <v>255</v>
      </c>
      <c r="D6" t="s">
        <v>807</v>
      </c>
      <c r="E6" t="s">
        <v>256</v>
      </c>
      <c r="F6" t="s">
        <v>1224</v>
      </c>
      <c r="H6" t="s">
        <v>1225</v>
      </c>
      <c r="I6" t="s">
        <v>1226</v>
      </c>
      <c r="J6" t="s">
        <v>1227</v>
      </c>
      <c r="AD6" t="s">
        <v>99</v>
      </c>
      <c r="AF6" t="s">
        <v>99</v>
      </c>
      <c r="AJ6" t="s">
        <v>99</v>
      </c>
      <c r="AN6" t="s">
        <v>99</v>
      </c>
      <c r="AP6" t="s">
        <v>99</v>
      </c>
    </row>
    <row r="7" spans="1:58">
      <c r="B7" t="s">
        <v>31</v>
      </c>
      <c r="C7" t="s">
        <v>65</v>
      </c>
      <c r="D7" t="s">
        <v>817</v>
      </c>
      <c r="E7" t="s">
        <v>258</v>
      </c>
      <c r="F7" t="s">
        <v>1228</v>
      </c>
      <c r="H7" t="s">
        <v>1229</v>
      </c>
      <c r="I7" t="s">
        <v>1230</v>
      </c>
      <c r="J7" t="s">
        <v>1207</v>
      </c>
      <c r="AD7" t="s">
        <v>260</v>
      </c>
      <c r="AF7" t="s">
        <v>260</v>
      </c>
      <c r="AN7" t="s">
        <v>260</v>
      </c>
      <c r="AP7" t="s">
        <v>260</v>
      </c>
    </row>
    <row r="8" spans="1:58">
      <c r="B8" t="s">
        <v>31</v>
      </c>
      <c r="C8" t="s">
        <v>261</v>
      </c>
      <c r="D8" t="s">
        <v>99</v>
      </c>
      <c r="E8" t="s">
        <v>262</v>
      </c>
      <c r="F8" t="s">
        <v>1231</v>
      </c>
      <c r="H8" t="s">
        <v>1232</v>
      </c>
      <c r="I8" t="s">
        <v>1233</v>
      </c>
      <c r="AD8" t="s">
        <v>1234</v>
      </c>
      <c r="AF8" t="s">
        <v>1235</v>
      </c>
    </row>
    <row r="9" spans="1:58">
      <c r="B9" t="s">
        <v>31</v>
      </c>
      <c r="C9" t="s">
        <v>263</v>
      </c>
      <c r="D9" t="s">
        <v>59</v>
      </c>
      <c r="E9" t="s">
        <v>264</v>
      </c>
      <c r="F9" t="s">
        <v>1236</v>
      </c>
      <c r="H9" t="s">
        <v>1237</v>
      </c>
      <c r="I9" t="s">
        <v>1238</v>
      </c>
    </row>
    <row r="10" spans="1:58">
      <c r="B10" t="s">
        <v>31</v>
      </c>
      <c r="C10" t="s">
        <v>265</v>
      </c>
      <c r="D10" t="s">
        <v>1239</v>
      </c>
      <c r="E10" t="s">
        <v>266</v>
      </c>
      <c r="F10" t="s">
        <v>1240</v>
      </c>
      <c r="H10" t="s">
        <v>1241</v>
      </c>
      <c r="I10" t="s">
        <v>1242</v>
      </c>
    </row>
    <row r="11" spans="1:58">
      <c r="B11" t="s">
        <v>31</v>
      </c>
      <c r="C11" t="s">
        <v>267</v>
      </c>
      <c r="D11" t="s">
        <v>1243</v>
      </c>
      <c r="E11" t="s">
        <v>268</v>
      </c>
      <c r="F11" t="s">
        <v>1244</v>
      </c>
      <c r="H11" t="s">
        <v>1245</v>
      </c>
      <c r="I11" t="s">
        <v>1246</v>
      </c>
    </row>
    <row r="12" spans="1:58">
      <c r="B12" t="s">
        <v>31</v>
      </c>
      <c r="E12" t="s">
        <v>269</v>
      </c>
      <c r="F12" t="s">
        <v>1247</v>
      </c>
      <c r="J12" t="s">
        <v>106</v>
      </c>
    </row>
    <row r="13" spans="1:58">
      <c r="B13" t="s">
        <v>31</v>
      </c>
      <c r="E13" t="s">
        <v>270</v>
      </c>
      <c r="F13" t="s">
        <v>1248</v>
      </c>
      <c r="J13" t="s">
        <v>271</v>
      </c>
    </row>
    <row r="14" spans="1:58">
      <c r="B14" t="s">
        <v>31</v>
      </c>
      <c r="E14" t="s">
        <v>97</v>
      </c>
      <c r="F14" t="s">
        <v>1249</v>
      </c>
    </row>
    <row r="15" spans="1:58">
      <c r="B15" t="s">
        <v>31</v>
      </c>
      <c r="E15" t="s">
        <v>272</v>
      </c>
      <c r="F15" t="s">
        <v>1250</v>
      </c>
    </row>
    <row r="16" spans="1:58">
      <c r="B16" t="s">
        <v>31</v>
      </c>
      <c r="E16" t="s">
        <v>102</v>
      </c>
      <c r="F16" t="s">
        <v>1251</v>
      </c>
    </row>
    <row r="17" spans="1:45">
      <c r="B17" t="s">
        <v>31</v>
      </c>
      <c r="E17" t="s">
        <v>65</v>
      </c>
      <c r="F17" t="s">
        <v>1252</v>
      </c>
    </row>
    <row r="18" spans="1:45">
      <c r="B18" t="s">
        <v>31</v>
      </c>
    </row>
    <row r="19" spans="1:45">
      <c r="B19" t="s">
        <v>31</v>
      </c>
      <c r="E19" t="s">
        <v>273</v>
      </c>
      <c r="H19" t="s">
        <v>274</v>
      </c>
    </row>
    <row r="20" spans="1:45">
      <c r="B20" t="s">
        <v>31</v>
      </c>
      <c r="E20" t="s">
        <v>275</v>
      </c>
      <c r="H20" t="s">
        <v>1253</v>
      </c>
    </row>
    <row r="21" spans="1:45">
      <c r="B21" t="s">
        <v>31</v>
      </c>
      <c r="E21" t="s">
        <v>276</v>
      </c>
      <c r="H21" t="s">
        <v>1254</v>
      </c>
    </row>
    <row r="22" spans="1:45">
      <c r="B22" t="s">
        <v>31</v>
      </c>
      <c r="E22" t="s">
        <v>65</v>
      </c>
      <c r="F22" t="s">
        <v>1255</v>
      </c>
      <c r="H22" t="s">
        <v>1256</v>
      </c>
    </row>
    <row r="23" spans="1:45">
      <c r="B23" t="s">
        <v>31</v>
      </c>
      <c r="E23" t="s">
        <v>277</v>
      </c>
    </row>
    <row r="24" spans="1:45">
      <c r="A24" t="s">
        <v>235</v>
      </c>
      <c r="B24" t="s">
        <v>31</v>
      </c>
      <c r="E24" t="s">
        <v>278</v>
      </c>
      <c r="G24" t="s">
        <v>279</v>
      </c>
      <c r="AJ24" t="s">
        <v>280</v>
      </c>
      <c r="AP24" t="s">
        <v>281</v>
      </c>
      <c r="AS24" t="s">
        <v>282</v>
      </c>
    </row>
    <row r="25" spans="1:45">
      <c r="B25" t="s">
        <v>62</v>
      </c>
      <c r="O25" t="s">
        <v>283</v>
      </c>
      <c r="P25" t="s">
        <v>1257</v>
      </c>
    </row>
    <row r="26" spans="1:45">
      <c r="O26" t="s">
        <v>284</v>
      </c>
      <c r="P26" t="s">
        <v>1258</v>
      </c>
    </row>
    <row r="27" spans="1:45">
      <c r="B27" t="s">
        <v>62</v>
      </c>
      <c r="O27" t="s">
        <v>285</v>
      </c>
      <c r="P27" t="s">
        <v>1259</v>
      </c>
    </row>
    <row r="29" spans="1:45">
      <c r="B29" t="s">
        <v>1260</v>
      </c>
      <c r="P29" t="s">
        <v>286</v>
      </c>
    </row>
    <row r="30" spans="1:45">
      <c r="B30" t="s">
        <v>1261</v>
      </c>
    </row>
    <row r="31" spans="1:45">
      <c r="B31" t="s">
        <v>62</v>
      </c>
      <c r="AD31" t="s">
        <v>1262</v>
      </c>
      <c r="AF31" t="s">
        <v>1263</v>
      </c>
      <c r="AH31" t="s">
        <v>287</v>
      </c>
      <c r="AJ31" t="s">
        <v>288</v>
      </c>
      <c r="AL31" t="s">
        <v>289</v>
      </c>
      <c r="AN31" t="s">
        <v>290</v>
      </c>
      <c r="AP31" t="s">
        <v>291</v>
      </c>
    </row>
    <row r="32" spans="1:45">
      <c r="B32" t="s">
        <v>62</v>
      </c>
      <c r="P32" t="s">
        <v>292</v>
      </c>
      <c r="T32" t="s">
        <v>287</v>
      </c>
      <c r="V32" t="s">
        <v>287</v>
      </c>
      <c r="X32" t="s">
        <v>287</v>
      </c>
      <c r="Z32" t="s">
        <v>287</v>
      </c>
      <c r="AB32" t="s">
        <v>287</v>
      </c>
      <c r="AD32" t="s">
        <v>293</v>
      </c>
      <c r="AF32" t="s">
        <v>293</v>
      </c>
      <c r="AH32" t="s">
        <v>294</v>
      </c>
      <c r="AJ32" t="s">
        <v>1264</v>
      </c>
      <c r="AL32" t="s">
        <v>288</v>
      </c>
      <c r="AN32" t="s">
        <v>296</v>
      </c>
      <c r="AP32" t="s">
        <v>293</v>
      </c>
    </row>
    <row r="33" spans="1:58">
      <c r="A33" t="s">
        <v>297</v>
      </c>
      <c r="B33" t="s">
        <v>62</v>
      </c>
      <c r="L33" t="s">
        <v>65</v>
      </c>
      <c r="M33" t="s">
        <v>298</v>
      </c>
      <c r="N33" t="s">
        <v>255</v>
      </c>
      <c r="O33" t="s">
        <v>253</v>
      </c>
      <c r="P33" t="s">
        <v>299</v>
      </c>
      <c r="R33" t="s">
        <v>300</v>
      </c>
      <c r="T33" t="s">
        <v>301</v>
      </c>
      <c r="V33" t="s">
        <v>1265</v>
      </c>
      <c r="X33" t="s">
        <v>1266</v>
      </c>
      <c r="Z33" t="s">
        <v>1267</v>
      </c>
      <c r="AB33" t="s">
        <v>1268</v>
      </c>
      <c r="AD33" t="s">
        <v>1269</v>
      </c>
      <c r="AF33" t="s">
        <v>1270</v>
      </c>
      <c r="AH33" t="s">
        <v>1271</v>
      </c>
      <c r="AJ33" t="s">
        <v>1272</v>
      </c>
      <c r="AL33" t="s">
        <v>1273</v>
      </c>
      <c r="AN33" t="s">
        <v>1274</v>
      </c>
      <c r="AP33" t="s">
        <v>1274</v>
      </c>
      <c r="AS33" t="s">
        <v>305</v>
      </c>
    </row>
    <row r="34" spans="1:58">
      <c r="B34" t="s">
        <v>62</v>
      </c>
    </row>
    <row r="35" spans="1:58">
      <c r="B35" t="s">
        <v>62</v>
      </c>
      <c r="O35" t="s">
        <v>306</v>
      </c>
      <c r="P35" t="s">
        <v>307</v>
      </c>
    </row>
    <row r="36" spans="1:58">
      <c r="B36" t="s">
        <v>62</v>
      </c>
      <c r="R36" t="s">
        <v>1275</v>
      </c>
    </row>
    <row r="37" spans="1:58">
      <c r="B37" t="s">
        <v>62</v>
      </c>
    </row>
    <row r="38" spans="1:58">
      <c r="A38" t="s">
        <v>236</v>
      </c>
      <c r="B38" t="s">
        <v>62</v>
      </c>
      <c r="E38" t="s">
        <v>1276</v>
      </c>
      <c r="K38" t="s">
        <v>1277</v>
      </c>
      <c r="L38" t="s">
        <v>1278</v>
      </c>
      <c r="M38" t="s">
        <v>1279</v>
      </c>
      <c r="N38" t="s">
        <v>1280</v>
      </c>
      <c r="O38" t="s">
        <v>1281</v>
      </c>
      <c r="P38" t="s">
        <v>1281</v>
      </c>
      <c r="R38" t="s">
        <v>1282</v>
      </c>
      <c r="T38" t="s">
        <v>1283</v>
      </c>
      <c r="V38" t="s">
        <v>1284</v>
      </c>
      <c r="X38" t="s">
        <v>1285</v>
      </c>
      <c r="Z38" t="s">
        <v>1286</v>
      </c>
      <c r="AB38" t="s">
        <v>1287</v>
      </c>
      <c r="AD38" t="s">
        <v>1288</v>
      </c>
      <c r="AF38" t="s">
        <v>1289</v>
      </c>
      <c r="AH38" t="s">
        <v>1290</v>
      </c>
      <c r="AJ38" t="s">
        <v>1291</v>
      </c>
      <c r="AL38" t="s">
        <v>1292</v>
      </c>
      <c r="AN38" t="s">
        <v>1293</v>
      </c>
      <c r="AP38" t="s">
        <v>1294</v>
      </c>
      <c r="AQ38" t="s">
        <v>1295</v>
      </c>
    </row>
    <row r="39" spans="1:58">
      <c r="A39" t="s">
        <v>236</v>
      </c>
      <c r="B39" t="s">
        <v>1296</v>
      </c>
      <c r="K39" t="s">
        <v>1297</v>
      </c>
      <c r="L39" t="s">
        <v>1278</v>
      </c>
      <c r="M39" t="s">
        <v>1279</v>
      </c>
      <c r="N39" t="s">
        <v>1280</v>
      </c>
      <c r="O39" t="s">
        <v>1298</v>
      </c>
      <c r="P39" t="s">
        <v>1299</v>
      </c>
      <c r="R39" t="s">
        <v>1300</v>
      </c>
      <c r="T39" t="s">
        <v>1301</v>
      </c>
      <c r="V39" t="s">
        <v>1302</v>
      </c>
      <c r="X39" t="s">
        <v>1303</v>
      </c>
      <c r="Z39" t="s">
        <v>1304</v>
      </c>
      <c r="AB39" t="s">
        <v>1305</v>
      </c>
      <c r="AD39" t="s">
        <v>1306</v>
      </c>
      <c r="AF39" t="s">
        <v>1307</v>
      </c>
      <c r="AH39" t="s">
        <v>1308</v>
      </c>
      <c r="AJ39" t="s">
        <v>1309</v>
      </c>
      <c r="AL39" t="s">
        <v>1310</v>
      </c>
      <c r="AN39" t="s">
        <v>1311</v>
      </c>
      <c r="AP39" t="s">
        <v>1312</v>
      </c>
      <c r="AQ39" t="s">
        <v>1313</v>
      </c>
    </row>
    <row r="40" spans="1:58">
      <c r="B40" t="s">
        <v>62</v>
      </c>
    </row>
    <row r="41" spans="1:58">
      <c r="B41" t="s">
        <v>31</v>
      </c>
      <c r="E41" t="s">
        <v>1314</v>
      </c>
    </row>
    <row r="42" spans="1:58">
      <c r="B42" t="s">
        <v>31</v>
      </c>
      <c r="I42" t="s">
        <v>1315</v>
      </c>
    </row>
    <row r="43" spans="1:58">
      <c r="B43" t="s">
        <v>1316</v>
      </c>
      <c r="I43" t="s">
        <v>1317</v>
      </c>
      <c r="R43" t="s">
        <v>1318</v>
      </c>
      <c r="AU43" t="s">
        <v>301</v>
      </c>
      <c r="AV43" t="s">
        <v>1319</v>
      </c>
      <c r="AW43" t="s">
        <v>1320</v>
      </c>
      <c r="AX43" t="s">
        <v>1321</v>
      </c>
      <c r="AY43" t="s">
        <v>1322</v>
      </c>
      <c r="AZ43" t="s">
        <v>327</v>
      </c>
      <c r="BA43" t="s">
        <v>328</v>
      </c>
      <c r="BB43" t="s">
        <v>329</v>
      </c>
      <c r="BC43" t="s">
        <v>330</v>
      </c>
      <c r="BD43" t="s">
        <v>289</v>
      </c>
      <c r="BE43" t="s">
        <v>331</v>
      </c>
      <c r="BF43" t="s">
        <v>332</v>
      </c>
    </row>
    <row r="44" spans="1:58">
      <c r="A44" t="s">
        <v>236</v>
      </c>
      <c r="B44" t="s">
        <v>1323</v>
      </c>
      <c r="I44" t="s">
        <v>1324</v>
      </c>
      <c r="K44" t="s">
        <v>1325</v>
      </c>
      <c r="L44" t="s">
        <v>1278</v>
      </c>
      <c r="M44" t="s">
        <v>1279</v>
      </c>
      <c r="N44" t="s">
        <v>1280</v>
      </c>
      <c r="O44" t="s">
        <v>1326</v>
      </c>
      <c r="P44" t="s">
        <v>1327</v>
      </c>
      <c r="R44" t="s">
        <v>1328</v>
      </c>
      <c r="T44" t="s">
        <v>1329</v>
      </c>
      <c r="V44" t="s">
        <v>1330</v>
      </c>
      <c r="X44" t="s">
        <v>1331</v>
      </c>
      <c r="Z44" t="s">
        <v>1332</v>
      </c>
      <c r="AB44" t="s">
        <v>1333</v>
      </c>
      <c r="AD44" t="s">
        <v>1334</v>
      </c>
      <c r="AF44" t="s">
        <v>1335</v>
      </c>
      <c r="AH44" t="s">
        <v>1336</v>
      </c>
      <c r="AJ44" t="s">
        <v>1337</v>
      </c>
      <c r="AL44" t="s">
        <v>1338</v>
      </c>
      <c r="AN44" t="s">
        <v>1339</v>
      </c>
      <c r="AP44" t="s">
        <v>1340</v>
      </c>
      <c r="AQ44" t="s">
        <v>1341</v>
      </c>
    </row>
    <row r="45" spans="1:58">
      <c r="B45" t="s">
        <v>1316</v>
      </c>
      <c r="I45" t="s">
        <v>1342</v>
      </c>
    </row>
    <row r="46" spans="1:58">
      <c r="B46" t="s">
        <v>1343</v>
      </c>
      <c r="I46" t="s">
        <v>1344</v>
      </c>
      <c r="R46" t="s">
        <v>150</v>
      </c>
      <c r="T46" t="s">
        <v>1345</v>
      </c>
      <c r="V46" t="s">
        <v>1346</v>
      </c>
      <c r="X46" t="s">
        <v>1347</v>
      </c>
      <c r="Z46" t="s">
        <v>1348</v>
      </c>
      <c r="AB46" t="s">
        <v>1349</v>
      </c>
      <c r="AD46" t="s">
        <v>1350</v>
      </c>
      <c r="AF46" t="s">
        <v>1351</v>
      </c>
      <c r="AH46" t="s">
        <v>1352</v>
      </c>
      <c r="AJ46" t="s">
        <v>1353</v>
      </c>
      <c r="AL46" t="s">
        <v>1354</v>
      </c>
      <c r="AN46" t="s">
        <v>1355</v>
      </c>
      <c r="AP46" t="s">
        <v>1356</v>
      </c>
      <c r="AQ46" t="s">
        <v>1357</v>
      </c>
      <c r="AU46" t="s">
        <v>1345</v>
      </c>
      <c r="AV46" t="s">
        <v>1346</v>
      </c>
      <c r="AW46" t="s">
        <v>1347</v>
      </c>
      <c r="AX46" t="s">
        <v>1348</v>
      </c>
      <c r="AY46" t="s">
        <v>1349</v>
      </c>
      <c r="AZ46" t="s">
        <v>1350</v>
      </c>
      <c r="BA46" t="s">
        <v>1351</v>
      </c>
      <c r="BB46" t="s">
        <v>1352</v>
      </c>
      <c r="BC46" t="s">
        <v>1353</v>
      </c>
      <c r="BD46" t="s">
        <v>1354</v>
      </c>
      <c r="BE46" t="s">
        <v>1355</v>
      </c>
      <c r="BF46" t="s">
        <v>1356</v>
      </c>
    </row>
    <row r="47" spans="1:58">
      <c r="B47" t="s">
        <v>1316</v>
      </c>
      <c r="I47" t="s">
        <v>1358</v>
      </c>
    </row>
    <row r="48" spans="1:58">
      <c r="B48" t="s">
        <v>62</v>
      </c>
    </row>
    <row r="49" spans="1:43">
      <c r="B49" t="s">
        <v>62</v>
      </c>
      <c r="R49" t="s">
        <v>1359</v>
      </c>
      <c r="T49" t="s">
        <v>1360</v>
      </c>
      <c r="V49" t="s">
        <v>1361</v>
      </c>
      <c r="X49" t="s">
        <v>1362</v>
      </c>
      <c r="Z49" t="s">
        <v>1363</v>
      </c>
      <c r="AB49" t="s">
        <v>1364</v>
      </c>
      <c r="AD49" t="s">
        <v>1365</v>
      </c>
      <c r="AF49" t="s">
        <v>1366</v>
      </c>
      <c r="AH49" t="s">
        <v>1367</v>
      </c>
      <c r="AJ49" t="s">
        <v>1368</v>
      </c>
      <c r="AL49" t="s">
        <v>1369</v>
      </c>
      <c r="AN49" t="s">
        <v>1370</v>
      </c>
      <c r="AP49" t="s">
        <v>1371</v>
      </c>
      <c r="AQ49" t="s">
        <v>1372</v>
      </c>
    </row>
    <row r="50" spans="1:43">
      <c r="B50" t="s">
        <v>62</v>
      </c>
    </row>
    <row r="51" spans="1:43">
      <c r="B51" t="s">
        <v>1373</v>
      </c>
      <c r="E51" t="s">
        <v>1374</v>
      </c>
      <c r="R51" t="s">
        <v>335</v>
      </c>
    </row>
    <row r="52" spans="1:43">
      <c r="B52" t="s">
        <v>31</v>
      </c>
    </row>
    <row r="53" spans="1:43">
      <c r="A53" t="s">
        <v>236</v>
      </c>
      <c r="B53" t="s">
        <v>1375</v>
      </c>
      <c r="K53" t="s">
        <v>1376</v>
      </c>
      <c r="L53" t="s">
        <v>1278</v>
      </c>
      <c r="M53" t="s">
        <v>1279</v>
      </c>
      <c r="N53" t="s">
        <v>1280</v>
      </c>
      <c r="O53" t="s">
        <v>1377</v>
      </c>
      <c r="P53" t="s">
        <v>1378</v>
      </c>
      <c r="R53" t="s">
        <v>1379</v>
      </c>
      <c r="T53" t="s">
        <v>1380</v>
      </c>
      <c r="V53" t="s">
        <v>1381</v>
      </c>
      <c r="X53" t="s">
        <v>1382</v>
      </c>
      <c r="Z53" t="s">
        <v>1383</v>
      </c>
      <c r="AB53" t="s">
        <v>1384</v>
      </c>
      <c r="AD53" t="s">
        <v>1385</v>
      </c>
      <c r="AF53" t="s">
        <v>1386</v>
      </c>
      <c r="AH53" t="s">
        <v>1387</v>
      </c>
      <c r="AJ53" t="s">
        <v>830</v>
      </c>
      <c r="AL53" t="s">
        <v>1388</v>
      </c>
      <c r="AN53" t="s">
        <v>1389</v>
      </c>
      <c r="AP53" t="s">
        <v>1390</v>
      </c>
      <c r="AQ53" t="s">
        <v>1391</v>
      </c>
    </row>
    <row r="54" spans="1:43">
      <c r="B54" t="s">
        <v>31</v>
      </c>
    </row>
    <row r="55" spans="1:43">
      <c r="B55" t="s">
        <v>1373</v>
      </c>
      <c r="R55" t="s">
        <v>1392</v>
      </c>
      <c r="T55" t="s">
        <v>1393</v>
      </c>
      <c r="V55" t="s">
        <v>1394</v>
      </c>
      <c r="X55" t="s">
        <v>1395</v>
      </c>
      <c r="Z55" t="s">
        <v>1396</v>
      </c>
      <c r="AB55" t="s">
        <v>1397</v>
      </c>
      <c r="AD55" t="s">
        <v>1398</v>
      </c>
      <c r="AF55" t="s">
        <v>1399</v>
      </c>
      <c r="AH55" t="s">
        <v>1400</v>
      </c>
      <c r="AJ55" t="s">
        <v>1401</v>
      </c>
      <c r="AL55" t="s">
        <v>1402</v>
      </c>
      <c r="AN55" t="s">
        <v>1403</v>
      </c>
      <c r="AP55" t="s">
        <v>1404</v>
      </c>
      <c r="AQ55" t="s">
        <v>1405</v>
      </c>
    </row>
    <row r="56" spans="1:43">
      <c r="B56" t="s">
        <v>1406</v>
      </c>
    </row>
    <row r="57" spans="1:43">
      <c r="B57" t="s">
        <v>1407</v>
      </c>
      <c r="R57" t="s">
        <v>1408</v>
      </c>
      <c r="T57" t="s">
        <v>1409</v>
      </c>
      <c r="V57" t="s">
        <v>1410</v>
      </c>
      <c r="X57" t="s">
        <v>1411</v>
      </c>
      <c r="Z57" t="s">
        <v>1412</v>
      </c>
      <c r="AB57" t="s">
        <v>1413</v>
      </c>
      <c r="AD57" t="s">
        <v>1414</v>
      </c>
      <c r="AF57" t="s">
        <v>1415</v>
      </c>
      <c r="AH57" t="s">
        <v>1416</v>
      </c>
      <c r="AJ57" t="s">
        <v>1417</v>
      </c>
      <c r="AL57" t="s">
        <v>1418</v>
      </c>
      <c r="AN57" t="s">
        <v>1419</v>
      </c>
      <c r="AP57" t="s">
        <v>1420</v>
      </c>
      <c r="AQ57" t="s">
        <v>1421</v>
      </c>
    </row>
    <row r="58" spans="1:43">
      <c r="B58" t="s">
        <v>1422</v>
      </c>
    </row>
    <row r="59" spans="1:43">
      <c r="B59" t="s">
        <v>62</v>
      </c>
      <c r="R59" t="s">
        <v>1423</v>
      </c>
    </row>
    <row r="60" spans="1:43">
      <c r="B60" t="s">
        <v>62</v>
      </c>
    </row>
    <row r="61" spans="1:43">
      <c r="B61" t="s">
        <v>1424</v>
      </c>
      <c r="R61" t="s">
        <v>1425</v>
      </c>
    </row>
    <row r="62" spans="1:43">
      <c r="B62" t="s">
        <v>31</v>
      </c>
      <c r="E62" t="s">
        <v>1426</v>
      </c>
      <c r="H62" t="s">
        <v>336</v>
      </c>
    </row>
    <row r="63" spans="1:43">
      <c r="A63" t="s">
        <v>236</v>
      </c>
      <c r="B63" t="s">
        <v>1427</v>
      </c>
      <c r="K63" t="s">
        <v>1428</v>
      </c>
      <c r="L63" t="s">
        <v>1278</v>
      </c>
      <c r="M63" t="s">
        <v>1279</v>
      </c>
      <c r="N63" t="s">
        <v>1280</v>
      </c>
      <c r="O63" t="s">
        <v>1429</v>
      </c>
      <c r="P63" t="s">
        <v>1430</v>
      </c>
      <c r="R63" t="s">
        <v>1431</v>
      </c>
      <c r="T63" t="s">
        <v>1432</v>
      </c>
      <c r="V63" t="s">
        <v>1433</v>
      </c>
      <c r="X63" t="s">
        <v>1434</v>
      </c>
      <c r="Z63" t="s">
        <v>1435</v>
      </c>
      <c r="AB63" t="s">
        <v>1436</v>
      </c>
      <c r="AD63" t="s">
        <v>1437</v>
      </c>
      <c r="AF63" t="s">
        <v>1438</v>
      </c>
      <c r="AH63" t="s">
        <v>1439</v>
      </c>
      <c r="AJ63" t="s">
        <v>830</v>
      </c>
      <c r="AL63" t="s">
        <v>1440</v>
      </c>
      <c r="AN63" t="s">
        <v>1441</v>
      </c>
      <c r="AP63" t="s">
        <v>1442</v>
      </c>
      <c r="AQ63" t="s">
        <v>1443</v>
      </c>
    </row>
    <row r="64" spans="1:43">
      <c r="B64" t="s">
        <v>1424</v>
      </c>
    </row>
    <row r="65" spans="1:58">
      <c r="B65" t="s">
        <v>1444</v>
      </c>
      <c r="R65" t="s">
        <v>1445</v>
      </c>
      <c r="T65" t="s">
        <v>1446</v>
      </c>
      <c r="V65" t="s">
        <v>1447</v>
      </c>
      <c r="X65" t="s">
        <v>1448</v>
      </c>
      <c r="Z65" t="s">
        <v>1449</v>
      </c>
      <c r="AB65" t="s">
        <v>1450</v>
      </c>
      <c r="AD65" t="s">
        <v>1451</v>
      </c>
      <c r="AF65" t="s">
        <v>1452</v>
      </c>
      <c r="AH65" t="s">
        <v>1453</v>
      </c>
      <c r="AJ65" t="s">
        <v>1454</v>
      </c>
      <c r="AL65" t="s">
        <v>1455</v>
      </c>
      <c r="AN65" t="s">
        <v>1456</v>
      </c>
      <c r="AP65" t="s">
        <v>1457</v>
      </c>
      <c r="AQ65" t="s">
        <v>1458</v>
      </c>
    </row>
    <row r="66" spans="1:58">
      <c r="B66" t="s">
        <v>1424</v>
      </c>
    </row>
    <row r="67" spans="1:58">
      <c r="B67" t="s">
        <v>31</v>
      </c>
      <c r="E67" t="s">
        <v>1426</v>
      </c>
      <c r="H67" t="s">
        <v>364</v>
      </c>
      <c r="AH67" t="s">
        <v>1459</v>
      </c>
    </row>
    <row r="68" spans="1:58">
      <c r="B68" t="s">
        <v>31</v>
      </c>
    </row>
    <row r="69" spans="1:58">
      <c r="B69" t="s">
        <v>31</v>
      </c>
      <c r="H69" t="s">
        <v>365</v>
      </c>
      <c r="I69" t="s">
        <v>1460</v>
      </c>
    </row>
    <row r="70" spans="1:58">
      <c r="B70" t="s">
        <v>1461</v>
      </c>
      <c r="I70" t="s">
        <v>1462</v>
      </c>
      <c r="R70" t="s">
        <v>1463</v>
      </c>
      <c r="AU70" t="s">
        <v>301</v>
      </c>
      <c r="AV70" t="s">
        <v>1319</v>
      </c>
      <c r="AW70" t="s">
        <v>1320</v>
      </c>
      <c r="AX70" t="s">
        <v>1321</v>
      </c>
      <c r="AY70" t="s">
        <v>1322</v>
      </c>
      <c r="AZ70" t="s">
        <v>327</v>
      </c>
      <c r="BA70" t="s">
        <v>328</v>
      </c>
      <c r="BB70" t="s">
        <v>329</v>
      </c>
      <c r="BC70" t="s">
        <v>330</v>
      </c>
      <c r="BD70" t="s">
        <v>289</v>
      </c>
      <c r="BE70" t="s">
        <v>331</v>
      </c>
      <c r="BF70" t="s">
        <v>332</v>
      </c>
    </row>
    <row r="71" spans="1:58">
      <c r="A71" t="s">
        <v>236</v>
      </c>
      <c r="B71" t="s">
        <v>1464</v>
      </c>
      <c r="I71" t="s">
        <v>1092</v>
      </c>
      <c r="K71" t="s">
        <v>1465</v>
      </c>
      <c r="L71" t="s">
        <v>1278</v>
      </c>
      <c r="M71" t="s">
        <v>1279</v>
      </c>
      <c r="N71" t="s">
        <v>1280</v>
      </c>
      <c r="O71" t="s">
        <v>1466</v>
      </c>
      <c r="P71" t="s">
        <v>1467</v>
      </c>
      <c r="R71" t="s">
        <v>1468</v>
      </c>
      <c r="T71" t="s">
        <v>1469</v>
      </c>
      <c r="V71" t="s">
        <v>1470</v>
      </c>
      <c r="X71" t="s">
        <v>1471</v>
      </c>
      <c r="Z71" t="s">
        <v>1472</v>
      </c>
      <c r="AB71" t="s">
        <v>1473</v>
      </c>
      <c r="AD71" t="s">
        <v>1474</v>
      </c>
      <c r="AF71" t="s">
        <v>1475</v>
      </c>
      <c r="AH71" t="s">
        <v>1476</v>
      </c>
      <c r="AJ71" t="s">
        <v>830</v>
      </c>
      <c r="AL71" t="s">
        <v>1477</v>
      </c>
      <c r="AN71" t="s">
        <v>1478</v>
      </c>
      <c r="AP71" t="s">
        <v>1479</v>
      </c>
      <c r="AQ71" t="s">
        <v>1480</v>
      </c>
    </row>
    <row r="72" spans="1:58">
      <c r="B72" t="s">
        <v>31</v>
      </c>
      <c r="I72" t="s">
        <v>1481</v>
      </c>
    </row>
    <row r="73" spans="1:58">
      <c r="B73" t="s">
        <v>1461</v>
      </c>
      <c r="I73" t="s">
        <v>1482</v>
      </c>
      <c r="R73" t="s">
        <v>1483</v>
      </c>
      <c r="T73" t="s">
        <v>1484</v>
      </c>
      <c r="V73" t="s">
        <v>1485</v>
      </c>
      <c r="X73" t="s">
        <v>1486</v>
      </c>
      <c r="Z73" t="s">
        <v>1487</v>
      </c>
      <c r="AB73" t="s">
        <v>1488</v>
      </c>
      <c r="AD73" t="s">
        <v>1489</v>
      </c>
      <c r="AF73" t="s">
        <v>1490</v>
      </c>
      <c r="AH73" t="s">
        <v>1491</v>
      </c>
      <c r="AJ73" t="s">
        <v>1492</v>
      </c>
      <c r="AL73" t="s">
        <v>1493</v>
      </c>
      <c r="AN73" t="s">
        <v>1494</v>
      </c>
      <c r="AP73" t="s">
        <v>1495</v>
      </c>
      <c r="AQ73" t="s">
        <v>1496</v>
      </c>
      <c r="AU73" t="s">
        <v>1497</v>
      </c>
      <c r="AV73" t="s">
        <v>1498</v>
      </c>
      <c r="AW73" t="s">
        <v>1499</v>
      </c>
      <c r="AX73" t="s">
        <v>1500</v>
      </c>
      <c r="AY73" t="s">
        <v>1501</v>
      </c>
      <c r="AZ73" t="s">
        <v>1502</v>
      </c>
      <c r="BA73" t="s">
        <v>1503</v>
      </c>
      <c r="BB73" t="s">
        <v>1504</v>
      </c>
      <c r="BC73" t="s">
        <v>1505</v>
      </c>
      <c r="BD73" t="s">
        <v>1506</v>
      </c>
      <c r="BE73" t="s">
        <v>1507</v>
      </c>
      <c r="BF73" t="s">
        <v>1508</v>
      </c>
    </row>
    <row r="74" spans="1:58">
      <c r="B74" t="s">
        <v>1509</v>
      </c>
      <c r="I74" t="s">
        <v>1510</v>
      </c>
    </row>
    <row r="75" spans="1:58">
      <c r="B75" t="s">
        <v>31</v>
      </c>
    </row>
    <row r="76" spans="1:58">
      <c r="B76" t="s">
        <v>31</v>
      </c>
      <c r="R76" t="s">
        <v>437</v>
      </c>
      <c r="T76" t="s">
        <v>1511</v>
      </c>
      <c r="V76" t="s">
        <v>1512</v>
      </c>
      <c r="X76" t="s">
        <v>1513</v>
      </c>
      <c r="Z76" t="s">
        <v>1514</v>
      </c>
      <c r="AB76" t="s">
        <v>1515</v>
      </c>
      <c r="AD76" t="s">
        <v>1516</v>
      </c>
      <c r="AF76" t="s">
        <v>1517</v>
      </c>
      <c r="AH76" t="s">
        <v>1518</v>
      </c>
      <c r="AJ76" t="s">
        <v>1519</v>
      </c>
      <c r="AL76" t="s">
        <v>1520</v>
      </c>
      <c r="AN76" t="s">
        <v>1521</v>
      </c>
      <c r="AP76" t="s">
        <v>1522</v>
      </c>
    </row>
    <row r="77" spans="1:58">
      <c r="B77" t="s">
        <v>31</v>
      </c>
      <c r="E77" t="s">
        <v>438</v>
      </c>
      <c r="AH77" t="s">
        <v>1523</v>
      </c>
    </row>
    <row r="78" spans="1:58">
      <c r="B78" t="s">
        <v>1524</v>
      </c>
      <c r="R78" t="s">
        <v>439</v>
      </c>
    </row>
    <row r="79" spans="1:58">
      <c r="A79" t="s">
        <v>236</v>
      </c>
      <c r="B79" t="s">
        <v>1525</v>
      </c>
      <c r="K79" t="s">
        <v>1526</v>
      </c>
      <c r="L79" t="s">
        <v>1278</v>
      </c>
      <c r="M79" t="s">
        <v>1279</v>
      </c>
      <c r="N79" t="s">
        <v>1280</v>
      </c>
      <c r="O79" t="s">
        <v>1527</v>
      </c>
      <c r="P79" t="s">
        <v>1528</v>
      </c>
      <c r="R79" t="s">
        <v>1529</v>
      </c>
      <c r="T79" t="s">
        <v>1530</v>
      </c>
      <c r="V79" t="s">
        <v>1531</v>
      </c>
      <c r="X79" t="s">
        <v>1532</v>
      </c>
      <c r="Z79" t="s">
        <v>1533</v>
      </c>
      <c r="AB79" t="s">
        <v>1534</v>
      </c>
      <c r="AD79" t="s">
        <v>1535</v>
      </c>
      <c r="AF79" t="s">
        <v>1536</v>
      </c>
      <c r="AH79" t="s">
        <v>1537</v>
      </c>
      <c r="AJ79" t="s">
        <v>830</v>
      </c>
      <c r="AL79" t="s">
        <v>1538</v>
      </c>
      <c r="AN79" t="s">
        <v>1539</v>
      </c>
      <c r="AP79" t="s">
        <v>1540</v>
      </c>
      <c r="AQ79" t="s">
        <v>1541</v>
      </c>
    </row>
    <row r="80" spans="1:58">
      <c r="B80" t="s">
        <v>31</v>
      </c>
    </row>
    <row r="81" spans="1:43">
      <c r="B81" t="s">
        <v>1524</v>
      </c>
      <c r="R81" t="s">
        <v>440</v>
      </c>
      <c r="T81" t="s">
        <v>1542</v>
      </c>
      <c r="V81" t="s">
        <v>1543</v>
      </c>
      <c r="X81" t="s">
        <v>1544</v>
      </c>
      <c r="Z81" t="s">
        <v>1545</v>
      </c>
      <c r="AB81" t="s">
        <v>1546</v>
      </c>
      <c r="AD81" t="s">
        <v>1547</v>
      </c>
      <c r="AF81" t="s">
        <v>1548</v>
      </c>
      <c r="AH81" t="s">
        <v>1549</v>
      </c>
      <c r="AJ81" t="s">
        <v>1550</v>
      </c>
      <c r="AL81" t="s">
        <v>1551</v>
      </c>
      <c r="AN81" t="s">
        <v>1552</v>
      </c>
      <c r="AP81" t="s">
        <v>1553</v>
      </c>
      <c r="AQ81" t="s">
        <v>1554</v>
      </c>
    </row>
    <row r="82" spans="1:43">
      <c r="B82" t="s">
        <v>1555</v>
      </c>
      <c r="E82" t="s">
        <v>1556</v>
      </c>
      <c r="H82" t="s">
        <v>441</v>
      </c>
    </row>
    <row r="83" spans="1:43">
      <c r="B83" t="s">
        <v>1557</v>
      </c>
      <c r="R83" t="s">
        <v>166</v>
      </c>
    </row>
    <row r="84" spans="1:43">
      <c r="A84" t="s">
        <v>236</v>
      </c>
      <c r="B84" t="s">
        <v>1558</v>
      </c>
      <c r="K84" t="s">
        <v>1559</v>
      </c>
      <c r="L84" t="s">
        <v>1278</v>
      </c>
      <c r="M84" t="s">
        <v>1279</v>
      </c>
      <c r="N84" t="s">
        <v>1280</v>
      </c>
      <c r="O84" t="s">
        <v>1560</v>
      </c>
      <c r="P84" t="s">
        <v>1561</v>
      </c>
      <c r="R84" t="s">
        <v>1562</v>
      </c>
      <c r="T84" t="s">
        <v>1563</v>
      </c>
      <c r="V84" t="s">
        <v>1564</v>
      </c>
      <c r="X84" t="s">
        <v>1565</v>
      </c>
      <c r="Z84" t="s">
        <v>1566</v>
      </c>
      <c r="AB84" t="s">
        <v>1567</v>
      </c>
      <c r="AD84" t="s">
        <v>1568</v>
      </c>
      <c r="AF84" t="s">
        <v>1569</v>
      </c>
      <c r="AH84" t="s">
        <v>1570</v>
      </c>
      <c r="AJ84" t="s">
        <v>830</v>
      </c>
      <c r="AL84" t="s">
        <v>1571</v>
      </c>
      <c r="AN84" t="s">
        <v>1572</v>
      </c>
      <c r="AP84" t="s">
        <v>1573</v>
      </c>
      <c r="AQ84" t="s">
        <v>1574</v>
      </c>
    </row>
    <row r="85" spans="1:43">
      <c r="B85" t="s">
        <v>31</v>
      </c>
    </row>
    <row r="86" spans="1:43">
      <c r="B86" t="s">
        <v>1557</v>
      </c>
      <c r="R86" t="s">
        <v>444</v>
      </c>
      <c r="T86" t="s">
        <v>1575</v>
      </c>
      <c r="V86" t="s">
        <v>1576</v>
      </c>
      <c r="X86" t="s">
        <v>1577</v>
      </c>
      <c r="Z86" t="s">
        <v>1578</v>
      </c>
      <c r="AB86" t="s">
        <v>1579</v>
      </c>
      <c r="AD86" t="s">
        <v>1580</v>
      </c>
      <c r="AF86" t="s">
        <v>1581</v>
      </c>
      <c r="AH86" t="s">
        <v>1582</v>
      </c>
      <c r="AJ86" t="s">
        <v>1583</v>
      </c>
      <c r="AL86" t="s">
        <v>1584</v>
      </c>
      <c r="AN86" t="s">
        <v>1585</v>
      </c>
      <c r="AP86" t="s">
        <v>1586</v>
      </c>
      <c r="AQ86" t="s">
        <v>1587</v>
      </c>
    </row>
    <row r="87" spans="1:43">
      <c r="B87" t="s">
        <v>1588</v>
      </c>
    </row>
    <row r="88" spans="1:43">
      <c r="B88" t="s">
        <v>1589</v>
      </c>
      <c r="R88" t="s">
        <v>1590</v>
      </c>
      <c r="T88" t="s">
        <v>1591</v>
      </c>
      <c r="V88" t="s">
        <v>1592</v>
      </c>
      <c r="X88" t="s">
        <v>1593</v>
      </c>
      <c r="Z88" t="s">
        <v>1594</v>
      </c>
      <c r="AB88" t="s">
        <v>1595</v>
      </c>
      <c r="AD88" t="s">
        <v>1596</v>
      </c>
      <c r="AF88" t="s">
        <v>1597</v>
      </c>
      <c r="AH88" t="s">
        <v>1598</v>
      </c>
      <c r="AJ88" t="s">
        <v>1599</v>
      </c>
      <c r="AL88" t="s">
        <v>1600</v>
      </c>
      <c r="AN88" t="s">
        <v>1601</v>
      </c>
      <c r="AP88" t="s">
        <v>1602</v>
      </c>
      <c r="AQ88" t="s">
        <v>1603</v>
      </c>
    </row>
    <row r="89" spans="1:43">
      <c r="B89" t="s">
        <v>1604</v>
      </c>
      <c r="E89" t="s">
        <v>1556</v>
      </c>
      <c r="H89" t="s">
        <v>1605</v>
      </c>
    </row>
    <row r="90" spans="1:43">
      <c r="B90" t="s">
        <v>1606</v>
      </c>
      <c r="R90" t="s">
        <v>445</v>
      </c>
    </row>
    <row r="91" spans="1:43">
      <c r="A91" t="s">
        <v>236</v>
      </c>
      <c r="B91" t="s">
        <v>1607</v>
      </c>
      <c r="K91" t="s">
        <v>1608</v>
      </c>
      <c r="L91" t="s">
        <v>1278</v>
      </c>
      <c r="M91" t="s">
        <v>1279</v>
      </c>
      <c r="N91" t="s">
        <v>1280</v>
      </c>
      <c r="O91" t="s">
        <v>1609</v>
      </c>
      <c r="P91" t="s">
        <v>1610</v>
      </c>
      <c r="R91" t="s">
        <v>1611</v>
      </c>
      <c r="T91" t="s">
        <v>1612</v>
      </c>
      <c r="V91" t="s">
        <v>1613</v>
      </c>
      <c r="X91" t="s">
        <v>1614</v>
      </c>
      <c r="Z91" t="s">
        <v>1615</v>
      </c>
      <c r="AB91" t="s">
        <v>1616</v>
      </c>
      <c r="AD91" t="s">
        <v>1617</v>
      </c>
      <c r="AF91" t="s">
        <v>1618</v>
      </c>
      <c r="AH91" t="s">
        <v>1619</v>
      </c>
      <c r="AJ91" t="s">
        <v>830</v>
      </c>
      <c r="AL91" t="s">
        <v>1620</v>
      </c>
      <c r="AN91" t="s">
        <v>1621</v>
      </c>
      <c r="AP91" t="s">
        <v>1622</v>
      </c>
      <c r="AQ91" t="s">
        <v>1623</v>
      </c>
    </row>
    <row r="92" spans="1:43">
      <c r="B92" t="s">
        <v>31</v>
      </c>
    </row>
    <row r="93" spans="1:43">
      <c r="B93" t="s">
        <v>1606</v>
      </c>
      <c r="R93" t="s">
        <v>448</v>
      </c>
      <c r="T93" t="s">
        <v>1624</v>
      </c>
      <c r="V93" t="s">
        <v>1625</v>
      </c>
      <c r="X93" t="s">
        <v>1626</v>
      </c>
      <c r="Z93" t="s">
        <v>1627</v>
      </c>
      <c r="AB93" t="s">
        <v>1628</v>
      </c>
      <c r="AD93" t="s">
        <v>1629</v>
      </c>
      <c r="AF93" t="s">
        <v>1630</v>
      </c>
      <c r="AH93" t="s">
        <v>1631</v>
      </c>
      <c r="AJ93" t="s">
        <v>1632</v>
      </c>
      <c r="AL93" t="s">
        <v>1633</v>
      </c>
      <c r="AN93" t="s">
        <v>1634</v>
      </c>
      <c r="AP93" t="s">
        <v>1635</v>
      </c>
      <c r="AQ93" t="s">
        <v>1636</v>
      </c>
    </row>
    <row r="94" spans="1:43">
      <c r="B94" t="s">
        <v>1637</v>
      </c>
    </row>
    <row r="95" spans="1:43">
      <c r="B95" t="s">
        <v>62</v>
      </c>
      <c r="N95" t="s">
        <v>1638</v>
      </c>
      <c r="R95" t="s">
        <v>1639</v>
      </c>
      <c r="T95" t="s">
        <v>1640</v>
      </c>
      <c r="V95" t="s">
        <v>1641</v>
      </c>
      <c r="X95" t="s">
        <v>1642</v>
      </c>
      <c r="Z95" t="s">
        <v>1643</v>
      </c>
      <c r="AB95" t="s">
        <v>1644</v>
      </c>
      <c r="AD95" t="s">
        <v>1645</v>
      </c>
      <c r="AF95" t="s">
        <v>1646</v>
      </c>
      <c r="AH95" t="s">
        <v>1647</v>
      </c>
      <c r="AJ95" t="s">
        <v>1648</v>
      </c>
      <c r="AL95" t="s">
        <v>1649</v>
      </c>
      <c r="AN95" t="s">
        <v>1650</v>
      </c>
      <c r="AP95" t="s">
        <v>1651</v>
      </c>
      <c r="AQ95" t="s">
        <v>1652</v>
      </c>
    </row>
    <row r="96" spans="1:43">
      <c r="B96" t="s">
        <v>62</v>
      </c>
    </row>
    <row r="97" spans="1:43">
      <c r="B97" t="s">
        <v>1653</v>
      </c>
      <c r="R97" t="s">
        <v>1654</v>
      </c>
    </row>
    <row r="98" spans="1:43">
      <c r="B98" t="s">
        <v>62</v>
      </c>
      <c r="R98" t="s">
        <v>1655</v>
      </c>
      <c r="T98" t="s">
        <v>1656</v>
      </c>
      <c r="V98" t="s">
        <v>1657</v>
      </c>
      <c r="X98" t="s">
        <v>1658</v>
      </c>
      <c r="Z98" t="s">
        <v>1659</v>
      </c>
      <c r="AB98" t="s">
        <v>1660</v>
      </c>
      <c r="AD98" t="s">
        <v>1661</v>
      </c>
      <c r="AF98" t="s">
        <v>1662</v>
      </c>
      <c r="AH98" t="s">
        <v>1663</v>
      </c>
      <c r="AJ98" t="s">
        <v>1664</v>
      </c>
      <c r="AL98" t="s">
        <v>1665</v>
      </c>
      <c r="AN98" t="s">
        <v>1666</v>
      </c>
      <c r="AP98" t="s">
        <v>1667</v>
      </c>
      <c r="AQ98" t="s">
        <v>1668</v>
      </c>
    </row>
    <row r="99" spans="1:43">
      <c r="B99" t="s">
        <v>62</v>
      </c>
    </row>
    <row r="100" spans="1:43">
      <c r="B100" t="s">
        <v>31</v>
      </c>
    </row>
    <row r="101" spans="1:43">
      <c r="B101" t="s">
        <v>31</v>
      </c>
      <c r="T101" t="s">
        <v>1669</v>
      </c>
      <c r="V101" t="s">
        <v>1670</v>
      </c>
      <c r="X101" t="s">
        <v>1671</v>
      </c>
      <c r="Z101" t="s">
        <v>1672</v>
      </c>
      <c r="AB101" t="s">
        <v>1673</v>
      </c>
      <c r="AD101" t="s">
        <v>1674</v>
      </c>
      <c r="AF101" t="s">
        <v>1675</v>
      </c>
      <c r="AH101" t="s">
        <v>1676</v>
      </c>
      <c r="AJ101" t="s">
        <v>830</v>
      </c>
      <c r="AL101" t="s">
        <v>830</v>
      </c>
      <c r="AN101" t="s">
        <v>1677</v>
      </c>
      <c r="AP101" t="s">
        <v>1678</v>
      </c>
    </row>
    <row r="102" spans="1:43">
      <c r="B102" t="s">
        <v>1679</v>
      </c>
      <c r="E102" t="s">
        <v>451</v>
      </c>
      <c r="R102" t="s">
        <v>452</v>
      </c>
    </row>
    <row r="103" spans="1:43">
      <c r="B103" t="s">
        <v>1680</v>
      </c>
    </row>
    <row r="104" spans="1:43">
      <c r="A104" t="s">
        <v>236</v>
      </c>
      <c r="B104" t="s">
        <v>1681</v>
      </c>
      <c r="K104" t="s">
        <v>1682</v>
      </c>
      <c r="L104" t="s">
        <v>1278</v>
      </c>
      <c r="M104" t="s">
        <v>1279</v>
      </c>
      <c r="N104" t="s">
        <v>1280</v>
      </c>
      <c r="O104" t="s">
        <v>1683</v>
      </c>
      <c r="P104" t="s">
        <v>1684</v>
      </c>
      <c r="R104" t="s">
        <v>1685</v>
      </c>
      <c r="T104" t="s">
        <v>1686</v>
      </c>
      <c r="V104" t="s">
        <v>1687</v>
      </c>
      <c r="X104" t="s">
        <v>1688</v>
      </c>
      <c r="Z104" t="s">
        <v>1689</v>
      </c>
      <c r="AB104" t="s">
        <v>1690</v>
      </c>
      <c r="AD104" t="s">
        <v>1691</v>
      </c>
      <c r="AF104" t="s">
        <v>1692</v>
      </c>
      <c r="AH104" t="s">
        <v>1693</v>
      </c>
      <c r="AJ104" t="s">
        <v>830</v>
      </c>
      <c r="AL104" t="s">
        <v>1694</v>
      </c>
      <c r="AN104" t="s">
        <v>1695</v>
      </c>
      <c r="AP104" t="s">
        <v>1696</v>
      </c>
      <c r="AQ104" t="s">
        <v>1697</v>
      </c>
    </row>
    <row r="105" spans="1:43">
      <c r="B105" t="s">
        <v>31</v>
      </c>
    </row>
    <row r="106" spans="1:43">
      <c r="B106" t="s">
        <v>31</v>
      </c>
      <c r="T106" t="s">
        <v>1698</v>
      </c>
      <c r="V106" t="s">
        <v>1699</v>
      </c>
      <c r="X106" t="s">
        <v>1700</v>
      </c>
      <c r="Z106" t="s">
        <v>1701</v>
      </c>
      <c r="AB106" t="s">
        <v>1702</v>
      </c>
      <c r="AD106" t="s">
        <v>1703</v>
      </c>
      <c r="AF106" t="s">
        <v>1704</v>
      </c>
      <c r="AH106" t="s">
        <v>1705</v>
      </c>
      <c r="AJ106" t="s">
        <v>1706</v>
      </c>
      <c r="AL106" t="s">
        <v>1707</v>
      </c>
      <c r="AN106" t="s">
        <v>1708</v>
      </c>
      <c r="AP106" t="s">
        <v>1709</v>
      </c>
      <c r="AQ106" t="s">
        <v>1710</v>
      </c>
    </row>
    <row r="107" spans="1:43">
      <c r="A107" t="s">
        <v>236</v>
      </c>
      <c r="B107" t="s">
        <v>1679</v>
      </c>
      <c r="K107" t="s">
        <v>1711</v>
      </c>
      <c r="L107" t="s">
        <v>1278</v>
      </c>
      <c r="M107" t="s">
        <v>1279</v>
      </c>
      <c r="N107" t="s">
        <v>1280</v>
      </c>
      <c r="O107" t="s">
        <v>1712</v>
      </c>
      <c r="P107" t="s">
        <v>1713</v>
      </c>
      <c r="R107" t="s">
        <v>457</v>
      </c>
      <c r="T107" t="s">
        <v>1714</v>
      </c>
      <c r="V107" t="s">
        <v>1715</v>
      </c>
      <c r="X107" t="s">
        <v>1716</v>
      </c>
      <c r="Z107" t="s">
        <v>1717</v>
      </c>
      <c r="AB107" t="s">
        <v>1718</v>
      </c>
      <c r="AD107" t="s">
        <v>1719</v>
      </c>
      <c r="AF107" t="s">
        <v>1720</v>
      </c>
      <c r="AH107" t="s">
        <v>1721</v>
      </c>
      <c r="AJ107" t="s">
        <v>1722</v>
      </c>
      <c r="AL107" t="s">
        <v>1723</v>
      </c>
      <c r="AN107" t="s">
        <v>1724</v>
      </c>
      <c r="AP107" t="s">
        <v>1725</v>
      </c>
      <c r="AQ107" t="s">
        <v>1726</v>
      </c>
    </row>
    <row r="108" spans="1:43">
      <c r="B108" t="s">
        <v>1727</v>
      </c>
    </row>
    <row r="109" spans="1:43">
      <c r="B109" t="s">
        <v>1728</v>
      </c>
      <c r="R109" t="s">
        <v>458</v>
      </c>
      <c r="T109" t="s">
        <v>1729</v>
      </c>
      <c r="V109" t="s">
        <v>1730</v>
      </c>
      <c r="X109" t="s">
        <v>1731</v>
      </c>
      <c r="Z109" t="s">
        <v>1732</v>
      </c>
      <c r="AB109" t="s">
        <v>1733</v>
      </c>
      <c r="AD109" t="s">
        <v>1734</v>
      </c>
      <c r="AF109" t="s">
        <v>1735</v>
      </c>
      <c r="AH109" t="s">
        <v>1736</v>
      </c>
      <c r="AJ109" t="s">
        <v>1737</v>
      </c>
      <c r="AL109" t="s">
        <v>1738</v>
      </c>
      <c r="AN109" t="s">
        <v>1739</v>
      </c>
      <c r="AP109" t="s">
        <v>1740</v>
      </c>
      <c r="AQ109" t="s">
        <v>1741</v>
      </c>
    </row>
    <row r="110" spans="1:43">
      <c r="B110" t="s">
        <v>1727</v>
      </c>
    </row>
    <row r="111" spans="1:43">
      <c r="B111" t="s">
        <v>62</v>
      </c>
      <c r="R111" t="s">
        <v>1742</v>
      </c>
      <c r="T111" t="s">
        <v>1743</v>
      </c>
      <c r="V111" t="s">
        <v>1744</v>
      </c>
      <c r="X111" t="s">
        <v>1745</v>
      </c>
      <c r="Z111" t="s">
        <v>1746</v>
      </c>
      <c r="AB111" t="s">
        <v>1747</v>
      </c>
      <c r="AD111" t="s">
        <v>1748</v>
      </c>
      <c r="AF111" t="s">
        <v>1749</v>
      </c>
      <c r="AH111" t="s">
        <v>1750</v>
      </c>
      <c r="AJ111" t="s">
        <v>1751</v>
      </c>
      <c r="AL111" t="s">
        <v>1752</v>
      </c>
      <c r="AN111" t="s">
        <v>1753</v>
      </c>
      <c r="AP111" t="s">
        <v>1754</v>
      </c>
      <c r="AQ111" t="s">
        <v>1755</v>
      </c>
    </row>
    <row r="112" spans="1:43">
      <c r="B112" t="s">
        <v>62</v>
      </c>
    </row>
    <row r="113" spans="2:43">
      <c r="B113" t="s">
        <v>31</v>
      </c>
      <c r="O113" t="s">
        <v>459</v>
      </c>
      <c r="P113" t="s">
        <v>1756</v>
      </c>
      <c r="R113" t="s">
        <v>460</v>
      </c>
      <c r="T113" t="s">
        <v>1757</v>
      </c>
      <c r="V113" t="s">
        <v>1758</v>
      </c>
      <c r="X113" t="s">
        <v>1759</v>
      </c>
      <c r="Z113" t="s">
        <v>1760</v>
      </c>
      <c r="AB113" t="s">
        <v>1761</v>
      </c>
      <c r="AD113" t="s">
        <v>1762</v>
      </c>
      <c r="AF113" t="s">
        <v>1763</v>
      </c>
      <c r="AH113" t="s">
        <v>1764</v>
      </c>
      <c r="AJ113" t="s">
        <v>830</v>
      </c>
      <c r="AL113" t="s">
        <v>1765</v>
      </c>
      <c r="AN113" t="s">
        <v>830</v>
      </c>
      <c r="AP113" t="s">
        <v>830</v>
      </c>
      <c r="AQ113" t="s">
        <v>1766</v>
      </c>
    </row>
    <row r="114" spans="2:43">
      <c r="B114" t="s">
        <v>31</v>
      </c>
      <c r="R114" t="s">
        <v>461</v>
      </c>
      <c r="T114" t="s">
        <v>830</v>
      </c>
      <c r="V114" t="s">
        <v>830</v>
      </c>
      <c r="X114" t="s">
        <v>830</v>
      </c>
      <c r="Z114" t="s">
        <v>830</v>
      </c>
      <c r="AB114" t="s">
        <v>830</v>
      </c>
      <c r="AF114" t="s">
        <v>1767</v>
      </c>
      <c r="AH114" t="s">
        <v>1768</v>
      </c>
      <c r="AJ114" t="s">
        <v>830</v>
      </c>
      <c r="AN114" t="s">
        <v>830</v>
      </c>
      <c r="AP114" t="s">
        <v>830</v>
      </c>
      <c r="AQ114" t="s">
        <v>1769</v>
      </c>
    </row>
    <row r="115" spans="2:43">
      <c r="B115" t="s">
        <v>31</v>
      </c>
      <c r="R115" t="s">
        <v>462</v>
      </c>
      <c r="T115" t="s">
        <v>1770</v>
      </c>
      <c r="V115" t="s">
        <v>1771</v>
      </c>
      <c r="X115" t="s">
        <v>1772</v>
      </c>
      <c r="Z115" t="s">
        <v>1773</v>
      </c>
      <c r="AB115" t="s">
        <v>1774</v>
      </c>
      <c r="AD115" t="s">
        <v>1775</v>
      </c>
      <c r="AF115" t="s">
        <v>1776</v>
      </c>
      <c r="AH115" t="s">
        <v>1777</v>
      </c>
      <c r="AJ115" t="s">
        <v>830</v>
      </c>
      <c r="AL115" t="s">
        <v>1778</v>
      </c>
      <c r="AN115" t="s">
        <v>830</v>
      </c>
      <c r="AP115" t="s">
        <v>830</v>
      </c>
      <c r="AQ115" t="s">
        <v>1779</v>
      </c>
    </row>
    <row r="116" spans="2:43">
      <c r="B116" t="s">
        <v>62</v>
      </c>
      <c r="O116" t="s">
        <v>459</v>
      </c>
      <c r="P116" t="s">
        <v>1756</v>
      </c>
      <c r="R116" t="s">
        <v>1780</v>
      </c>
      <c r="T116" t="s">
        <v>1781</v>
      </c>
      <c r="V116" t="s">
        <v>1782</v>
      </c>
      <c r="X116" t="s">
        <v>1783</v>
      </c>
      <c r="Z116" t="s">
        <v>1784</v>
      </c>
      <c r="AB116" t="s">
        <v>1785</v>
      </c>
      <c r="AD116" t="s">
        <v>1786</v>
      </c>
      <c r="AF116" t="s">
        <v>1787</v>
      </c>
      <c r="AH116" t="s">
        <v>1788</v>
      </c>
      <c r="AJ116" t="s">
        <v>830</v>
      </c>
      <c r="AL116" t="s">
        <v>1789</v>
      </c>
      <c r="AN116" t="s">
        <v>830</v>
      </c>
      <c r="AP116" t="s">
        <v>1790</v>
      </c>
      <c r="AQ116" t="s">
        <v>1791</v>
      </c>
    </row>
    <row r="117" spans="2:43">
      <c r="B117" t="s">
        <v>62</v>
      </c>
    </row>
    <row r="118" spans="2:43">
      <c r="B118" t="s">
        <v>62</v>
      </c>
      <c r="R118" t="s">
        <v>1792</v>
      </c>
      <c r="T118" t="s">
        <v>1793</v>
      </c>
      <c r="V118" t="s">
        <v>1794</v>
      </c>
      <c r="X118" t="s">
        <v>1795</v>
      </c>
      <c r="Z118" t="s">
        <v>1796</v>
      </c>
      <c r="AB118" t="s">
        <v>1797</v>
      </c>
      <c r="AD118" t="s">
        <v>1798</v>
      </c>
      <c r="AF118" t="s">
        <v>1799</v>
      </c>
      <c r="AH118" t="s">
        <v>1800</v>
      </c>
      <c r="AJ118" t="s">
        <v>1801</v>
      </c>
      <c r="AL118" t="s">
        <v>1802</v>
      </c>
      <c r="AN118" t="s">
        <v>1803</v>
      </c>
      <c r="AP118" t="s">
        <v>1804</v>
      </c>
      <c r="AQ118" t="s">
        <v>1805</v>
      </c>
    </row>
    <row r="119" spans="2:43">
      <c r="B119" t="s">
        <v>1806</v>
      </c>
    </row>
    <row r="120" spans="2:43">
      <c r="B120" t="s">
        <v>1807</v>
      </c>
      <c r="AQ120" t="s">
        <v>1808</v>
      </c>
    </row>
    <row r="121" spans="2:43">
      <c r="B121" t="s">
        <v>1809</v>
      </c>
    </row>
    <row r="122" spans="2:43">
      <c r="B122" t="s">
        <v>1810</v>
      </c>
      <c r="T122" t="s">
        <v>301</v>
      </c>
      <c r="V122" t="s">
        <v>1811</v>
      </c>
      <c r="X122" t="s">
        <v>1811</v>
      </c>
      <c r="Z122" t="s">
        <v>1811</v>
      </c>
      <c r="AB122" t="s">
        <v>1812</v>
      </c>
      <c r="AD122" t="s">
        <v>1813</v>
      </c>
      <c r="AF122" t="s">
        <v>1814</v>
      </c>
      <c r="AH122" t="s">
        <v>1815</v>
      </c>
      <c r="AJ122" t="s">
        <v>1816</v>
      </c>
      <c r="AL122" t="s">
        <v>1817</v>
      </c>
      <c r="AN122" t="s">
        <v>1818</v>
      </c>
      <c r="AP122" t="s">
        <v>1819</v>
      </c>
    </row>
    <row r="123" spans="2:43">
      <c r="B123" t="s">
        <v>1820</v>
      </c>
      <c r="T123" t="s">
        <v>1821</v>
      </c>
      <c r="V123" t="s">
        <v>1822</v>
      </c>
      <c r="X123" t="s">
        <v>1823</v>
      </c>
      <c r="Z123" t="s">
        <v>1824</v>
      </c>
      <c r="AB123" t="s">
        <v>1825</v>
      </c>
      <c r="AD123" t="s">
        <v>1826</v>
      </c>
      <c r="AF123" t="s">
        <v>1827</v>
      </c>
      <c r="AH123" t="s">
        <v>1828</v>
      </c>
      <c r="AJ123" t="s">
        <v>1829</v>
      </c>
      <c r="AL123" t="s">
        <v>1830</v>
      </c>
      <c r="AN123" t="s">
        <v>1831</v>
      </c>
      <c r="AP123" t="s">
        <v>1832</v>
      </c>
    </row>
    <row r="124" spans="2:43">
      <c r="B124" t="s">
        <v>1833</v>
      </c>
      <c r="T124" t="s">
        <v>1834</v>
      </c>
      <c r="V124" t="s">
        <v>1835</v>
      </c>
      <c r="X124" t="s">
        <v>1836</v>
      </c>
      <c r="Z124" t="s">
        <v>1837</v>
      </c>
      <c r="AB124" t="s">
        <v>1838</v>
      </c>
      <c r="AD124" t="s">
        <v>1839</v>
      </c>
      <c r="AF124" t="s">
        <v>1840</v>
      </c>
      <c r="AH124" t="s">
        <v>1841</v>
      </c>
      <c r="AJ124" t="s">
        <v>1842</v>
      </c>
      <c r="AL124" t="s">
        <v>1843</v>
      </c>
      <c r="AN124" t="s">
        <v>1844</v>
      </c>
      <c r="AP124" t="s">
        <v>1845</v>
      </c>
    </row>
    <row r="125" spans="2:43">
      <c r="B125" t="s">
        <v>1846</v>
      </c>
    </row>
    <row r="126" spans="2:43">
      <c r="B126" t="s">
        <v>1847</v>
      </c>
      <c r="P126" t="s">
        <v>463</v>
      </c>
      <c r="T126" t="s">
        <v>1848</v>
      </c>
      <c r="V126" t="s">
        <v>1849</v>
      </c>
      <c r="X126" t="s">
        <v>1850</v>
      </c>
      <c r="Z126" t="s">
        <v>1851</v>
      </c>
      <c r="AB126" t="s">
        <v>1852</v>
      </c>
      <c r="AD126" t="s">
        <v>1853</v>
      </c>
      <c r="AF126" t="s">
        <v>1854</v>
      </c>
      <c r="AH126" t="s">
        <v>1855</v>
      </c>
      <c r="AJ126" t="s">
        <v>830</v>
      </c>
      <c r="AL126" t="s">
        <v>830</v>
      </c>
      <c r="AN126" t="s">
        <v>830</v>
      </c>
      <c r="AP126" t="s">
        <v>830</v>
      </c>
    </row>
    <row r="127" spans="2:43">
      <c r="B127" t="s">
        <v>1089</v>
      </c>
      <c r="P127" t="s">
        <v>464</v>
      </c>
      <c r="T127" t="s">
        <v>1856</v>
      </c>
      <c r="V127" t="s">
        <v>1857</v>
      </c>
      <c r="X127" t="s">
        <v>1858</v>
      </c>
      <c r="Z127" t="s">
        <v>1859</v>
      </c>
      <c r="AB127" t="s">
        <v>1860</v>
      </c>
      <c r="AD127" t="s">
        <v>1861</v>
      </c>
      <c r="AF127" t="s">
        <v>1862</v>
      </c>
      <c r="AH127" t="s">
        <v>1863</v>
      </c>
      <c r="AJ127" t="s">
        <v>830</v>
      </c>
      <c r="AL127" t="s">
        <v>830</v>
      </c>
      <c r="AN127" t="s">
        <v>830</v>
      </c>
      <c r="AP127" t="s">
        <v>830</v>
      </c>
    </row>
    <row r="128" spans="2:43">
      <c r="B128" t="s">
        <v>1864</v>
      </c>
      <c r="P128" t="s">
        <v>451</v>
      </c>
      <c r="T128" t="s">
        <v>1865</v>
      </c>
      <c r="V128" t="s">
        <v>1866</v>
      </c>
      <c r="X128" t="s">
        <v>1867</v>
      </c>
      <c r="Z128" t="s">
        <v>1868</v>
      </c>
      <c r="AB128" t="s">
        <v>1869</v>
      </c>
      <c r="AD128" t="s">
        <v>1870</v>
      </c>
      <c r="AF128" t="s">
        <v>1871</v>
      </c>
      <c r="AH128" t="s">
        <v>1872</v>
      </c>
      <c r="AJ128" t="s">
        <v>830</v>
      </c>
      <c r="AL128" t="s">
        <v>830</v>
      </c>
      <c r="AN128" t="s">
        <v>830</v>
      </c>
      <c r="AP128" t="s">
        <v>830</v>
      </c>
    </row>
    <row r="129" spans="2:42">
      <c r="B129" t="s">
        <v>1873</v>
      </c>
      <c r="P129" t="s">
        <v>465</v>
      </c>
      <c r="T129" t="s">
        <v>1874</v>
      </c>
      <c r="V129" t="s">
        <v>1875</v>
      </c>
      <c r="X129" t="s">
        <v>1876</v>
      </c>
      <c r="Z129" t="s">
        <v>1877</v>
      </c>
      <c r="AB129" t="s">
        <v>1878</v>
      </c>
      <c r="AD129" t="s">
        <v>1879</v>
      </c>
      <c r="AF129" t="s">
        <v>1880</v>
      </c>
      <c r="AH129" t="s">
        <v>1881</v>
      </c>
      <c r="AJ129" t="s">
        <v>830</v>
      </c>
      <c r="AL129" t="s">
        <v>830</v>
      </c>
      <c r="AN129" t="s">
        <v>830</v>
      </c>
      <c r="AP129" t="s">
        <v>830</v>
      </c>
    </row>
    <row r="130" spans="2:42">
      <c r="B130" t="s">
        <v>1882</v>
      </c>
    </row>
    <row r="131" spans="2:42">
      <c r="B131" t="s">
        <v>1883</v>
      </c>
      <c r="R131" t="s">
        <v>1884</v>
      </c>
      <c r="V131" t="s">
        <v>1885</v>
      </c>
      <c r="X131" t="s">
        <v>1886</v>
      </c>
      <c r="Z131" t="s">
        <v>1887</v>
      </c>
      <c r="AB131" t="s">
        <v>1888</v>
      </c>
      <c r="AD131" t="s">
        <v>1889</v>
      </c>
      <c r="AF131" t="s">
        <v>1890</v>
      </c>
      <c r="AH131" t="s">
        <v>1891</v>
      </c>
      <c r="AN131" t="s">
        <v>1892</v>
      </c>
    </row>
    <row r="132" spans="2:42">
      <c r="B132" t="s">
        <v>31</v>
      </c>
    </row>
    <row r="133" spans="2:42">
      <c r="B133" t="s">
        <v>31</v>
      </c>
      <c r="T133" t="s">
        <v>461</v>
      </c>
      <c r="AD133" t="s">
        <v>466</v>
      </c>
      <c r="AF133" t="s">
        <v>466</v>
      </c>
    </row>
    <row r="134" spans="2:42">
      <c r="B134" t="s">
        <v>31</v>
      </c>
      <c r="P134" t="s">
        <v>463</v>
      </c>
      <c r="T134" t="s">
        <v>1893</v>
      </c>
      <c r="AD134" t="s">
        <v>1894</v>
      </c>
      <c r="AF134" t="s">
        <v>1895</v>
      </c>
    </row>
    <row r="135" spans="2:42">
      <c r="B135" t="s">
        <v>31</v>
      </c>
      <c r="P135" t="s">
        <v>464</v>
      </c>
      <c r="T135" t="s">
        <v>1896</v>
      </c>
      <c r="AD135" t="s">
        <v>1897</v>
      </c>
      <c r="AF135" t="s">
        <v>1898</v>
      </c>
    </row>
    <row r="136" spans="2:42">
      <c r="B136" t="s">
        <v>31</v>
      </c>
      <c r="P136" t="s">
        <v>451</v>
      </c>
      <c r="T136" t="s">
        <v>1899</v>
      </c>
      <c r="AD136" t="s">
        <v>1900</v>
      </c>
      <c r="AF136" t="s">
        <v>1901</v>
      </c>
    </row>
    <row r="137" spans="2:42">
      <c r="B137" t="s">
        <v>31</v>
      </c>
      <c r="AD137" t="s">
        <v>1902</v>
      </c>
      <c r="AF137" t="s">
        <v>1903</v>
      </c>
    </row>
    <row r="138" spans="2:42">
      <c r="B138" t="s">
        <v>1099</v>
      </c>
    </row>
    <row r="139" spans="2:42">
      <c r="B139" t="s">
        <v>1100</v>
      </c>
    </row>
    <row r="140" spans="2:42">
      <c r="B140" t="s">
        <v>1101</v>
      </c>
      <c r="P140" t="s">
        <v>1277</v>
      </c>
      <c r="R140" t="s">
        <v>467</v>
      </c>
      <c r="X140" t="s">
        <v>1904</v>
      </c>
      <c r="Z140" t="s">
        <v>1905</v>
      </c>
      <c r="AB140" t="s">
        <v>1906</v>
      </c>
    </row>
    <row r="141" spans="2:42">
      <c r="B141" t="s">
        <v>1102</v>
      </c>
      <c r="P141" t="s">
        <v>1907</v>
      </c>
      <c r="R141" t="s">
        <v>468</v>
      </c>
      <c r="V141" t="s">
        <v>1908</v>
      </c>
      <c r="X141" t="s">
        <v>1909</v>
      </c>
      <c r="Z141" t="s">
        <v>1910</v>
      </c>
      <c r="AB141" t="s">
        <v>1911</v>
      </c>
    </row>
    <row r="142" spans="2:42">
      <c r="B142" t="s">
        <v>1105</v>
      </c>
      <c r="P142" t="s">
        <v>556</v>
      </c>
      <c r="R142" t="s">
        <v>469</v>
      </c>
      <c r="V142" t="s">
        <v>1908</v>
      </c>
      <c r="X142" t="s">
        <v>1912</v>
      </c>
      <c r="Z142" t="s">
        <v>1913</v>
      </c>
      <c r="AB142" t="s">
        <v>1914</v>
      </c>
    </row>
    <row r="143" spans="2:42">
      <c r="B143" t="s">
        <v>1106</v>
      </c>
      <c r="P143" t="s">
        <v>1915</v>
      </c>
      <c r="R143" t="s">
        <v>439</v>
      </c>
      <c r="V143" t="s">
        <v>470</v>
      </c>
      <c r="X143" t="s">
        <v>1916</v>
      </c>
      <c r="Z143" t="s">
        <v>1917</v>
      </c>
      <c r="AB143" t="s">
        <v>1918</v>
      </c>
    </row>
    <row r="144" spans="2:42">
      <c r="B144" t="s">
        <v>1109</v>
      </c>
      <c r="P144" t="s">
        <v>1919</v>
      </c>
      <c r="R144" t="s">
        <v>439</v>
      </c>
      <c r="V144" t="s">
        <v>470</v>
      </c>
      <c r="X144" t="s">
        <v>1920</v>
      </c>
      <c r="Z144" t="s">
        <v>1921</v>
      </c>
      <c r="AB144" t="s">
        <v>1922</v>
      </c>
    </row>
    <row r="145" spans="2:28">
      <c r="B145" t="s">
        <v>1115</v>
      </c>
      <c r="P145" t="s">
        <v>1923</v>
      </c>
      <c r="R145" t="s">
        <v>439</v>
      </c>
      <c r="V145" t="s">
        <v>470</v>
      </c>
      <c r="X145" t="s">
        <v>1924</v>
      </c>
      <c r="Z145" t="s">
        <v>1925</v>
      </c>
      <c r="AB145" t="s">
        <v>1926</v>
      </c>
    </row>
    <row r="146" spans="2:28">
      <c r="B146" t="s">
        <v>1118</v>
      </c>
      <c r="P146" t="s">
        <v>1927</v>
      </c>
      <c r="R146" t="s">
        <v>439</v>
      </c>
      <c r="V146" t="s">
        <v>470</v>
      </c>
      <c r="X146" t="s">
        <v>1928</v>
      </c>
      <c r="Z146" t="s">
        <v>1929</v>
      </c>
      <c r="AB146" t="s">
        <v>1930</v>
      </c>
    </row>
    <row r="147" spans="2:28">
      <c r="B147" t="s">
        <v>1121</v>
      </c>
      <c r="R147" t="s">
        <v>471</v>
      </c>
      <c r="Z147" t="s">
        <v>1931</v>
      </c>
      <c r="AB147" t="s">
        <v>1932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F147"/>
  <sheetViews>
    <sheetView workbookViewId="0"/>
  </sheetViews>
  <sheetFormatPr defaultRowHeight="12.75"/>
  <sheetData>
    <row r="1" spans="1:58">
      <c r="A1" t="s">
        <v>1169</v>
      </c>
      <c r="B1" t="s">
        <v>53</v>
      </c>
      <c r="C1" t="s">
        <v>31</v>
      </c>
      <c r="D1" t="s">
        <v>31</v>
      </c>
      <c r="E1" t="s">
        <v>31</v>
      </c>
      <c r="F1" t="s">
        <v>31</v>
      </c>
      <c r="G1" t="s">
        <v>234</v>
      </c>
      <c r="H1" t="s">
        <v>31</v>
      </c>
      <c r="I1" t="s">
        <v>31</v>
      </c>
      <c r="J1" t="s">
        <v>31</v>
      </c>
      <c r="K1" t="s">
        <v>31</v>
      </c>
      <c r="L1" t="s">
        <v>235</v>
      </c>
      <c r="M1" t="s">
        <v>235</v>
      </c>
      <c r="N1" t="s">
        <v>235</v>
      </c>
      <c r="O1" t="s">
        <v>235</v>
      </c>
      <c r="P1" t="s">
        <v>1170</v>
      </c>
      <c r="Q1" t="s">
        <v>1171</v>
      </c>
      <c r="R1" t="s">
        <v>62</v>
      </c>
      <c r="S1" t="s">
        <v>31</v>
      </c>
      <c r="T1" t="s">
        <v>31</v>
      </c>
      <c r="V1" t="s">
        <v>1172</v>
      </c>
      <c r="W1" t="s">
        <v>1173</v>
      </c>
      <c r="X1" t="s">
        <v>1174</v>
      </c>
      <c r="Y1" t="s">
        <v>1175</v>
      </c>
      <c r="Z1" t="s">
        <v>1176</v>
      </c>
      <c r="AA1" t="s">
        <v>1177</v>
      </c>
      <c r="AB1" t="s">
        <v>1178</v>
      </c>
      <c r="AC1" t="s">
        <v>1179</v>
      </c>
      <c r="AD1" t="s">
        <v>1180</v>
      </c>
      <c r="AE1" t="s">
        <v>1181</v>
      </c>
      <c r="AF1" t="s">
        <v>1182</v>
      </c>
      <c r="AG1" t="s">
        <v>1183</v>
      </c>
      <c r="AH1" t="s">
        <v>1184</v>
      </c>
      <c r="AI1" t="s">
        <v>1185</v>
      </c>
      <c r="AJ1" t="s">
        <v>1186</v>
      </c>
      <c r="AK1" t="s">
        <v>1185</v>
      </c>
      <c r="AL1" t="s">
        <v>62</v>
      </c>
      <c r="AM1" t="s">
        <v>1187</v>
      </c>
      <c r="AN1" t="s">
        <v>31</v>
      </c>
      <c r="AO1" t="s">
        <v>31</v>
      </c>
      <c r="AP1" t="s">
        <v>236</v>
      </c>
      <c r="AQ1" t="s">
        <v>31</v>
      </c>
      <c r="AS1" t="s">
        <v>236</v>
      </c>
      <c r="AT1" t="s">
        <v>237</v>
      </c>
      <c r="AU1" t="s">
        <v>237</v>
      </c>
      <c r="AV1" t="s">
        <v>237</v>
      </c>
      <c r="AW1" t="s">
        <v>237</v>
      </c>
      <c r="AX1" t="s">
        <v>237</v>
      </c>
      <c r="AY1" t="s">
        <v>237</v>
      </c>
      <c r="AZ1" t="s">
        <v>237</v>
      </c>
      <c r="BA1" t="s">
        <v>237</v>
      </c>
      <c r="BB1" t="s">
        <v>237</v>
      </c>
      <c r="BC1" t="s">
        <v>237</v>
      </c>
      <c r="BD1" t="s">
        <v>237</v>
      </c>
      <c r="BE1" t="s">
        <v>237</v>
      </c>
      <c r="BF1" t="s">
        <v>237</v>
      </c>
    </row>
    <row r="2" spans="1:58">
      <c r="B2" t="s">
        <v>1188</v>
      </c>
      <c r="C2" t="s">
        <v>1189</v>
      </c>
      <c r="T2" t="s">
        <v>1190</v>
      </c>
      <c r="V2" t="s">
        <v>1191</v>
      </c>
      <c r="X2" t="s">
        <v>1192</v>
      </c>
      <c r="Z2" t="s">
        <v>1193</v>
      </c>
      <c r="AB2" t="s">
        <v>1194</v>
      </c>
      <c r="AD2" t="s">
        <v>1195</v>
      </c>
      <c r="AF2" t="s">
        <v>1196</v>
      </c>
      <c r="AH2" t="s">
        <v>1190</v>
      </c>
      <c r="AJ2" t="s">
        <v>1197</v>
      </c>
    </row>
    <row r="3" spans="1:58">
      <c r="B3" t="s">
        <v>31</v>
      </c>
      <c r="C3" t="s">
        <v>1198</v>
      </c>
      <c r="H3" t="s">
        <v>238</v>
      </c>
      <c r="I3" t="s">
        <v>239</v>
      </c>
      <c r="J3" t="s">
        <v>240</v>
      </c>
      <c r="T3" t="s">
        <v>1199</v>
      </c>
      <c r="V3" t="s">
        <v>1200</v>
      </c>
      <c r="X3" t="s">
        <v>1201</v>
      </c>
      <c r="Z3" t="s">
        <v>1202</v>
      </c>
      <c r="AB3" t="s">
        <v>1203</v>
      </c>
      <c r="AD3" t="s">
        <v>1204</v>
      </c>
      <c r="AF3" t="s">
        <v>1205</v>
      </c>
      <c r="AH3" t="s">
        <v>1199</v>
      </c>
      <c r="AJ3" t="s">
        <v>1206</v>
      </c>
      <c r="AN3" t="s">
        <v>1207</v>
      </c>
      <c r="AP3" t="s">
        <v>1207</v>
      </c>
    </row>
    <row r="4" spans="1:58">
      <c r="B4" t="s">
        <v>31</v>
      </c>
      <c r="E4" t="s">
        <v>248</v>
      </c>
      <c r="F4" t="s">
        <v>1208</v>
      </c>
      <c r="H4" t="s">
        <v>1209</v>
      </c>
      <c r="I4" t="s">
        <v>1210</v>
      </c>
      <c r="J4" t="s">
        <v>1211</v>
      </c>
      <c r="T4" t="s">
        <v>251</v>
      </c>
      <c r="V4" t="s">
        <v>251</v>
      </c>
      <c r="X4" t="s">
        <v>251</v>
      </c>
      <c r="Z4" t="s">
        <v>251</v>
      </c>
      <c r="AB4" t="s">
        <v>251</v>
      </c>
      <c r="AD4" t="s">
        <v>252</v>
      </c>
      <c r="AF4" t="s">
        <v>252</v>
      </c>
      <c r="AH4" t="s">
        <v>251</v>
      </c>
      <c r="AJ4" t="s">
        <v>252</v>
      </c>
      <c r="AL4" t="s">
        <v>252</v>
      </c>
      <c r="AN4" t="s">
        <v>252</v>
      </c>
      <c r="AP4" t="s">
        <v>252</v>
      </c>
    </row>
    <row r="5" spans="1:58">
      <c r="B5" t="s">
        <v>31</v>
      </c>
      <c r="C5" t="s">
        <v>253</v>
      </c>
      <c r="D5" t="s">
        <v>74</v>
      </c>
      <c r="E5" t="s">
        <v>87</v>
      </c>
      <c r="F5" t="s">
        <v>803</v>
      </c>
      <c r="H5" t="s">
        <v>1212</v>
      </c>
      <c r="I5" t="s">
        <v>1213</v>
      </c>
      <c r="J5" t="s">
        <v>1214</v>
      </c>
      <c r="T5" t="s">
        <v>1215</v>
      </c>
      <c r="V5" t="s">
        <v>1216</v>
      </c>
      <c r="X5" t="s">
        <v>1217</v>
      </c>
      <c r="Z5" t="s">
        <v>1218</v>
      </c>
      <c r="AB5" t="s">
        <v>1219</v>
      </c>
      <c r="AD5" t="s">
        <v>1220</v>
      </c>
      <c r="AF5" t="s">
        <v>1221</v>
      </c>
      <c r="AH5" t="s">
        <v>1215</v>
      </c>
      <c r="AJ5" t="s">
        <v>1222</v>
      </c>
      <c r="AN5" t="s">
        <v>1223</v>
      </c>
      <c r="AP5" t="s">
        <v>1223</v>
      </c>
    </row>
    <row r="6" spans="1:58">
      <c r="B6" t="s">
        <v>31</v>
      </c>
      <c r="C6" t="s">
        <v>255</v>
      </c>
      <c r="D6" t="s">
        <v>807</v>
      </c>
      <c r="E6" t="s">
        <v>256</v>
      </c>
      <c r="F6" t="s">
        <v>1224</v>
      </c>
      <c r="H6" t="s">
        <v>1225</v>
      </c>
      <c r="I6" t="s">
        <v>1226</v>
      </c>
      <c r="J6" t="s">
        <v>1227</v>
      </c>
      <c r="AD6" t="s">
        <v>99</v>
      </c>
      <c r="AF6" t="s">
        <v>99</v>
      </c>
      <c r="AJ6" t="s">
        <v>99</v>
      </c>
      <c r="AN6" t="s">
        <v>99</v>
      </c>
      <c r="AP6" t="s">
        <v>99</v>
      </c>
    </row>
    <row r="7" spans="1:58">
      <c r="B7" t="s">
        <v>31</v>
      </c>
      <c r="C7" t="s">
        <v>65</v>
      </c>
      <c r="D7" t="s">
        <v>817</v>
      </c>
      <c r="E7" t="s">
        <v>258</v>
      </c>
      <c r="F7" t="s">
        <v>1228</v>
      </c>
      <c r="H7" t="s">
        <v>1229</v>
      </c>
      <c r="I7" t="s">
        <v>1230</v>
      </c>
      <c r="J7" t="s">
        <v>1207</v>
      </c>
      <c r="AD7" t="s">
        <v>260</v>
      </c>
      <c r="AF7" t="s">
        <v>260</v>
      </c>
      <c r="AN7" t="s">
        <v>260</v>
      </c>
      <c r="AP7" t="s">
        <v>260</v>
      </c>
    </row>
    <row r="8" spans="1:58">
      <c r="B8" t="s">
        <v>31</v>
      </c>
      <c r="C8" t="s">
        <v>261</v>
      </c>
      <c r="D8" t="s">
        <v>99</v>
      </c>
      <c r="E8" t="s">
        <v>262</v>
      </c>
      <c r="F8" t="s">
        <v>1231</v>
      </c>
      <c r="H8" t="s">
        <v>1232</v>
      </c>
      <c r="I8" t="s">
        <v>1233</v>
      </c>
      <c r="AD8" t="s">
        <v>1234</v>
      </c>
      <c r="AF8" t="s">
        <v>1235</v>
      </c>
    </row>
    <row r="9" spans="1:58">
      <c r="B9" t="s">
        <v>31</v>
      </c>
      <c r="C9" t="s">
        <v>263</v>
      </c>
      <c r="D9" t="s">
        <v>59</v>
      </c>
      <c r="E9" t="s">
        <v>264</v>
      </c>
      <c r="F9" t="s">
        <v>1236</v>
      </c>
      <c r="H9" t="s">
        <v>1237</v>
      </c>
      <c r="I9" t="s">
        <v>1238</v>
      </c>
    </row>
    <row r="10" spans="1:58">
      <c r="B10" t="s">
        <v>31</v>
      </c>
      <c r="C10" t="s">
        <v>265</v>
      </c>
      <c r="D10" t="s">
        <v>1239</v>
      </c>
      <c r="E10" t="s">
        <v>266</v>
      </c>
      <c r="F10" t="s">
        <v>1240</v>
      </c>
      <c r="H10" t="s">
        <v>1241</v>
      </c>
      <c r="I10" t="s">
        <v>1242</v>
      </c>
    </row>
    <row r="11" spans="1:58">
      <c r="B11" t="s">
        <v>31</v>
      </c>
      <c r="C11" t="s">
        <v>267</v>
      </c>
      <c r="D11" t="s">
        <v>1243</v>
      </c>
      <c r="E11" t="s">
        <v>268</v>
      </c>
      <c r="F11" t="s">
        <v>1244</v>
      </c>
      <c r="H11" t="s">
        <v>1245</v>
      </c>
      <c r="I11" t="s">
        <v>1246</v>
      </c>
    </row>
    <row r="12" spans="1:58">
      <c r="B12" t="s">
        <v>31</v>
      </c>
      <c r="E12" t="s">
        <v>269</v>
      </c>
      <c r="F12" t="s">
        <v>1247</v>
      </c>
      <c r="J12" t="s">
        <v>106</v>
      </c>
    </row>
    <row r="13" spans="1:58">
      <c r="B13" t="s">
        <v>31</v>
      </c>
      <c r="E13" t="s">
        <v>270</v>
      </c>
      <c r="F13" t="s">
        <v>1248</v>
      </c>
      <c r="J13" t="s">
        <v>271</v>
      </c>
    </row>
    <row r="14" spans="1:58">
      <c r="B14" t="s">
        <v>31</v>
      </c>
      <c r="E14" t="s">
        <v>97</v>
      </c>
      <c r="F14" t="s">
        <v>1249</v>
      </c>
    </row>
    <row r="15" spans="1:58">
      <c r="B15" t="s">
        <v>31</v>
      </c>
      <c r="E15" t="s">
        <v>272</v>
      </c>
      <c r="F15" t="s">
        <v>1250</v>
      </c>
    </row>
    <row r="16" spans="1:58">
      <c r="B16" t="s">
        <v>31</v>
      </c>
      <c r="E16" t="s">
        <v>102</v>
      </c>
      <c r="F16" t="s">
        <v>1251</v>
      </c>
    </row>
    <row r="17" spans="1:45">
      <c r="B17" t="s">
        <v>31</v>
      </c>
      <c r="E17" t="s">
        <v>65</v>
      </c>
      <c r="F17" t="s">
        <v>1252</v>
      </c>
    </row>
    <row r="18" spans="1:45">
      <c r="B18" t="s">
        <v>31</v>
      </c>
    </row>
    <row r="19" spans="1:45">
      <c r="B19" t="s">
        <v>31</v>
      </c>
      <c r="E19" t="s">
        <v>273</v>
      </c>
      <c r="H19" t="s">
        <v>274</v>
      </c>
    </row>
    <row r="20" spans="1:45">
      <c r="B20" t="s">
        <v>31</v>
      </c>
      <c r="E20" t="s">
        <v>275</v>
      </c>
      <c r="H20" t="s">
        <v>1253</v>
      </c>
    </row>
    <row r="21" spans="1:45">
      <c r="B21" t="s">
        <v>31</v>
      </c>
      <c r="E21" t="s">
        <v>276</v>
      </c>
      <c r="H21" t="s">
        <v>1254</v>
      </c>
    </row>
    <row r="22" spans="1:45">
      <c r="B22" t="s">
        <v>31</v>
      </c>
      <c r="E22" t="s">
        <v>65</v>
      </c>
      <c r="F22" t="s">
        <v>1255</v>
      </c>
      <c r="H22" t="s">
        <v>1256</v>
      </c>
    </row>
    <row r="23" spans="1:45">
      <c r="B23" t="s">
        <v>31</v>
      </c>
      <c r="E23" t="s">
        <v>277</v>
      </c>
    </row>
    <row r="24" spans="1:45">
      <c r="A24" t="s">
        <v>235</v>
      </c>
      <c r="B24" t="s">
        <v>31</v>
      </c>
      <c r="E24" t="s">
        <v>278</v>
      </c>
      <c r="G24" t="s">
        <v>279</v>
      </c>
      <c r="AJ24" t="s">
        <v>280</v>
      </c>
      <c r="AP24" t="s">
        <v>281</v>
      </c>
      <c r="AS24" t="s">
        <v>282</v>
      </c>
    </row>
    <row r="25" spans="1:45">
      <c r="B25" t="s">
        <v>62</v>
      </c>
      <c r="O25" t="s">
        <v>283</v>
      </c>
      <c r="P25" t="s">
        <v>1257</v>
      </c>
    </row>
    <row r="26" spans="1:45">
      <c r="O26" t="s">
        <v>284</v>
      </c>
      <c r="P26" t="s">
        <v>1258</v>
      </c>
    </row>
    <row r="27" spans="1:45">
      <c r="B27" t="s">
        <v>62</v>
      </c>
      <c r="O27" t="s">
        <v>285</v>
      </c>
      <c r="P27" t="s">
        <v>1259</v>
      </c>
    </row>
    <row r="29" spans="1:45">
      <c r="B29" t="s">
        <v>1260</v>
      </c>
      <c r="P29" t="s">
        <v>286</v>
      </c>
    </row>
    <row r="30" spans="1:45">
      <c r="B30" t="s">
        <v>1261</v>
      </c>
    </row>
    <row r="31" spans="1:45">
      <c r="B31" t="s">
        <v>62</v>
      </c>
      <c r="AD31" t="s">
        <v>1262</v>
      </c>
      <c r="AF31" t="s">
        <v>1263</v>
      </c>
      <c r="AH31" t="s">
        <v>287</v>
      </c>
      <c r="AJ31" t="s">
        <v>288</v>
      </c>
      <c r="AL31" t="s">
        <v>289</v>
      </c>
      <c r="AN31" t="s">
        <v>290</v>
      </c>
      <c r="AP31" t="s">
        <v>291</v>
      </c>
    </row>
    <row r="32" spans="1:45">
      <c r="B32" t="s">
        <v>62</v>
      </c>
      <c r="P32" t="s">
        <v>292</v>
      </c>
      <c r="T32" t="s">
        <v>287</v>
      </c>
      <c r="V32" t="s">
        <v>287</v>
      </c>
      <c r="X32" t="s">
        <v>287</v>
      </c>
      <c r="Z32" t="s">
        <v>287</v>
      </c>
      <c r="AB32" t="s">
        <v>287</v>
      </c>
      <c r="AD32" t="s">
        <v>293</v>
      </c>
      <c r="AF32" t="s">
        <v>293</v>
      </c>
      <c r="AH32" t="s">
        <v>294</v>
      </c>
      <c r="AJ32" t="s">
        <v>1264</v>
      </c>
      <c r="AL32" t="s">
        <v>288</v>
      </c>
      <c r="AN32" t="s">
        <v>296</v>
      </c>
      <c r="AP32" t="s">
        <v>293</v>
      </c>
    </row>
    <row r="33" spans="1:58">
      <c r="A33" t="s">
        <v>297</v>
      </c>
      <c r="B33" t="s">
        <v>62</v>
      </c>
      <c r="L33" t="s">
        <v>65</v>
      </c>
      <c r="M33" t="s">
        <v>298</v>
      </c>
      <c r="N33" t="s">
        <v>255</v>
      </c>
      <c r="O33" t="s">
        <v>253</v>
      </c>
      <c r="P33" t="s">
        <v>299</v>
      </c>
      <c r="R33" t="s">
        <v>300</v>
      </c>
      <c r="T33" t="s">
        <v>301</v>
      </c>
      <c r="V33" t="s">
        <v>1265</v>
      </c>
      <c r="X33" t="s">
        <v>1266</v>
      </c>
      <c r="Z33" t="s">
        <v>1267</v>
      </c>
      <c r="AB33" t="s">
        <v>1268</v>
      </c>
      <c r="AD33" t="s">
        <v>1269</v>
      </c>
      <c r="AF33" t="s">
        <v>1270</v>
      </c>
      <c r="AH33" t="s">
        <v>1271</v>
      </c>
      <c r="AJ33" t="s">
        <v>1272</v>
      </c>
      <c r="AL33" t="s">
        <v>1273</v>
      </c>
      <c r="AN33" t="s">
        <v>1274</v>
      </c>
      <c r="AP33" t="s">
        <v>1274</v>
      </c>
      <c r="AS33" t="s">
        <v>305</v>
      </c>
    </row>
    <row r="34" spans="1:58">
      <c r="B34" t="s">
        <v>62</v>
      </c>
    </row>
    <row r="35" spans="1:58">
      <c r="B35" t="s">
        <v>62</v>
      </c>
      <c r="O35" t="s">
        <v>306</v>
      </c>
      <c r="P35" t="s">
        <v>307</v>
      </c>
    </row>
    <row r="36" spans="1:58">
      <c r="B36" t="s">
        <v>62</v>
      </c>
      <c r="R36" t="s">
        <v>1275</v>
      </c>
    </row>
    <row r="37" spans="1:58">
      <c r="B37" t="s">
        <v>62</v>
      </c>
    </row>
    <row r="38" spans="1:58">
      <c r="A38" t="s">
        <v>236</v>
      </c>
      <c r="B38" t="s">
        <v>62</v>
      </c>
      <c r="E38" t="s">
        <v>1276</v>
      </c>
      <c r="K38" t="s">
        <v>1277</v>
      </c>
      <c r="L38" t="s">
        <v>1278</v>
      </c>
      <c r="M38" t="s">
        <v>1279</v>
      </c>
      <c r="N38" t="s">
        <v>1280</v>
      </c>
      <c r="O38" t="s">
        <v>1281</v>
      </c>
      <c r="P38" t="s">
        <v>1281</v>
      </c>
      <c r="R38" t="s">
        <v>1282</v>
      </c>
      <c r="T38" t="s">
        <v>1283</v>
      </c>
      <c r="V38" t="s">
        <v>1284</v>
      </c>
      <c r="X38" t="s">
        <v>1285</v>
      </c>
      <c r="Z38" t="s">
        <v>1286</v>
      </c>
      <c r="AB38" t="s">
        <v>1287</v>
      </c>
      <c r="AD38" t="s">
        <v>1288</v>
      </c>
      <c r="AF38" t="s">
        <v>1289</v>
      </c>
      <c r="AH38" t="s">
        <v>1290</v>
      </c>
      <c r="AJ38" t="s">
        <v>1291</v>
      </c>
      <c r="AL38" t="s">
        <v>1292</v>
      </c>
      <c r="AN38" t="s">
        <v>1293</v>
      </c>
      <c r="AP38" t="s">
        <v>1294</v>
      </c>
      <c r="AQ38" t="s">
        <v>1295</v>
      </c>
    </row>
    <row r="39" spans="1:58">
      <c r="A39" t="s">
        <v>236</v>
      </c>
      <c r="B39" t="s">
        <v>1296</v>
      </c>
      <c r="K39" t="s">
        <v>1297</v>
      </c>
      <c r="L39" t="s">
        <v>1278</v>
      </c>
      <c r="M39" t="s">
        <v>1279</v>
      </c>
      <c r="N39" t="s">
        <v>1280</v>
      </c>
      <c r="O39" t="s">
        <v>1298</v>
      </c>
      <c r="P39" t="s">
        <v>1299</v>
      </c>
      <c r="R39" t="s">
        <v>1300</v>
      </c>
      <c r="T39" t="s">
        <v>1301</v>
      </c>
      <c r="V39" t="s">
        <v>1302</v>
      </c>
      <c r="X39" t="s">
        <v>1303</v>
      </c>
      <c r="Z39" t="s">
        <v>1304</v>
      </c>
      <c r="AB39" t="s">
        <v>1305</v>
      </c>
      <c r="AD39" t="s">
        <v>1306</v>
      </c>
      <c r="AF39" t="s">
        <v>1307</v>
      </c>
      <c r="AH39" t="s">
        <v>1308</v>
      </c>
      <c r="AJ39" t="s">
        <v>1309</v>
      </c>
      <c r="AL39" t="s">
        <v>1310</v>
      </c>
      <c r="AN39" t="s">
        <v>1311</v>
      </c>
      <c r="AP39" t="s">
        <v>1312</v>
      </c>
      <c r="AQ39" t="s">
        <v>1313</v>
      </c>
    </row>
    <row r="40" spans="1:58">
      <c r="B40" t="s">
        <v>62</v>
      </c>
    </row>
    <row r="41" spans="1:58">
      <c r="B41" t="s">
        <v>31</v>
      </c>
      <c r="E41" t="s">
        <v>1314</v>
      </c>
    </row>
    <row r="42" spans="1:58">
      <c r="B42" t="s">
        <v>31</v>
      </c>
      <c r="I42" t="s">
        <v>1315</v>
      </c>
    </row>
    <row r="43" spans="1:58">
      <c r="B43" t="s">
        <v>1316</v>
      </c>
      <c r="I43" t="s">
        <v>1317</v>
      </c>
      <c r="R43" t="s">
        <v>1318</v>
      </c>
      <c r="AU43" t="s">
        <v>301</v>
      </c>
      <c r="AV43" t="s">
        <v>1319</v>
      </c>
      <c r="AW43" t="s">
        <v>1320</v>
      </c>
      <c r="AX43" t="s">
        <v>1321</v>
      </c>
      <c r="AY43" t="s">
        <v>1322</v>
      </c>
      <c r="AZ43" t="s">
        <v>327</v>
      </c>
      <c r="BA43" t="s">
        <v>328</v>
      </c>
      <c r="BB43" t="s">
        <v>329</v>
      </c>
      <c r="BC43" t="s">
        <v>330</v>
      </c>
      <c r="BD43" t="s">
        <v>289</v>
      </c>
      <c r="BE43" t="s">
        <v>331</v>
      </c>
      <c r="BF43" t="s">
        <v>332</v>
      </c>
    </row>
    <row r="44" spans="1:58">
      <c r="A44" t="s">
        <v>236</v>
      </c>
      <c r="B44" t="s">
        <v>1323</v>
      </c>
      <c r="I44" t="s">
        <v>1324</v>
      </c>
      <c r="K44" t="s">
        <v>1325</v>
      </c>
      <c r="L44" t="s">
        <v>1278</v>
      </c>
      <c r="M44" t="s">
        <v>1279</v>
      </c>
      <c r="N44" t="s">
        <v>1280</v>
      </c>
      <c r="O44" t="s">
        <v>1326</v>
      </c>
      <c r="P44" t="s">
        <v>1327</v>
      </c>
      <c r="R44" t="s">
        <v>1328</v>
      </c>
      <c r="T44" t="s">
        <v>1329</v>
      </c>
      <c r="V44" t="s">
        <v>1330</v>
      </c>
      <c r="X44" t="s">
        <v>1331</v>
      </c>
      <c r="Z44" t="s">
        <v>1332</v>
      </c>
      <c r="AB44" t="s">
        <v>1333</v>
      </c>
      <c r="AD44" t="s">
        <v>1334</v>
      </c>
      <c r="AF44" t="s">
        <v>1335</v>
      </c>
      <c r="AH44" t="s">
        <v>1336</v>
      </c>
      <c r="AJ44" t="s">
        <v>1337</v>
      </c>
      <c r="AL44" t="s">
        <v>1338</v>
      </c>
      <c r="AN44" t="s">
        <v>1339</v>
      </c>
      <c r="AP44" t="s">
        <v>1340</v>
      </c>
      <c r="AQ44" t="s">
        <v>1341</v>
      </c>
    </row>
    <row r="45" spans="1:58">
      <c r="B45" t="s">
        <v>1316</v>
      </c>
      <c r="I45" t="s">
        <v>1342</v>
      </c>
    </row>
    <row r="46" spans="1:58">
      <c r="B46" t="s">
        <v>1343</v>
      </c>
      <c r="I46" t="s">
        <v>1344</v>
      </c>
      <c r="R46" t="s">
        <v>150</v>
      </c>
      <c r="T46" t="s">
        <v>1345</v>
      </c>
      <c r="V46" t="s">
        <v>1346</v>
      </c>
      <c r="X46" t="s">
        <v>1347</v>
      </c>
      <c r="Z46" t="s">
        <v>1348</v>
      </c>
      <c r="AB46" t="s">
        <v>1349</v>
      </c>
      <c r="AD46" t="s">
        <v>1350</v>
      </c>
      <c r="AF46" t="s">
        <v>1351</v>
      </c>
      <c r="AH46" t="s">
        <v>1352</v>
      </c>
      <c r="AJ46" t="s">
        <v>1353</v>
      </c>
      <c r="AL46" t="s">
        <v>1354</v>
      </c>
      <c r="AN46" t="s">
        <v>1355</v>
      </c>
      <c r="AP46" t="s">
        <v>1356</v>
      </c>
      <c r="AQ46" t="s">
        <v>1357</v>
      </c>
      <c r="AU46" t="s">
        <v>1345</v>
      </c>
      <c r="AV46" t="s">
        <v>1346</v>
      </c>
      <c r="AW46" t="s">
        <v>1347</v>
      </c>
      <c r="AX46" t="s">
        <v>1348</v>
      </c>
      <c r="AY46" t="s">
        <v>1349</v>
      </c>
      <c r="AZ46" t="s">
        <v>1350</v>
      </c>
      <c r="BA46" t="s">
        <v>1351</v>
      </c>
      <c r="BB46" t="s">
        <v>1352</v>
      </c>
      <c r="BC46" t="s">
        <v>1353</v>
      </c>
      <c r="BD46" t="s">
        <v>1354</v>
      </c>
      <c r="BE46" t="s">
        <v>1355</v>
      </c>
      <c r="BF46" t="s">
        <v>1356</v>
      </c>
    </row>
    <row r="47" spans="1:58">
      <c r="B47" t="s">
        <v>1316</v>
      </c>
      <c r="I47" t="s">
        <v>1358</v>
      </c>
    </row>
    <row r="48" spans="1:58">
      <c r="B48" t="s">
        <v>62</v>
      </c>
    </row>
    <row r="49" spans="1:43">
      <c r="B49" t="s">
        <v>62</v>
      </c>
      <c r="R49" t="s">
        <v>1359</v>
      </c>
      <c r="T49" t="s">
        <v>1360</v>
      </c>
      <c r="V49" t="s">
        <v>1361</v>
      </c>
      <c r="X49" t="s">
        <v>1362</v>
      </c>
      <c r="Z49" t="s">
        <v>1363</v>
      </c>
      <c r="AB49" t="s">
        <v>1364</v>
      </c>
      <c r="AD49" t="s">
        <v>1365</v>
      </c>
      <c r="AF49" t="s">
        <v>1366</v>
      </c>
      <c r="AH49" t="s">
        <v>1367</v>
      </c>
      <c r="AJ49" t="s">
        <v>1368</v>
      </c>
      <c r="AL49" t="s">
        <v>1369</v>
      </c>
      <c r="AN49" t="s">
        <v>1370</v>
      </c>
      <c r="AP49" t="s">
        <v>1371</v>
      </c>
      <c r="AQ49" t="s">
        <v>1372</v>
      </c>
    </row>
    <row r="50" spans="1:43">
      <c r="B50" t="s">
        <v>62</v>
      </c>
    </row>
    <row r="51" spans="1:43">
      <c r="B51" t="s">
        <v>1373</v>
      </c>
      <c r="E51" t="s">
        <v>1374</v>
      </c>
      <c r="R51" t="s">
        <v>335</v>
      </c>
    </row>
    <row r="52" spans="1:43">
      <c r="B52" t="s">
        <v>31</v>
      </c>
    </row>
    <row r="53" spans="1:43">
      <c r="A53" t="s">
        <v>236</v>
      </c>
      <c r="B53" t="s">
        <v>1375</v>
      </c>
      <c r="K53" t="s">
        <v>1376</v>
      </c>
      <c r="L53" t="s">
        <v>1278</v>
      </c>
      <c r="M53" t="s">
        <v>1279</v>
      </c>
      <c r="N53" t="s">
        <v>1280</v>
      </c>
      <c r="O53" t="s">
        <v>1377</v>
      </c>
      <c r="P53" t="s">
        <v>1378</v>
      </c>
      <c r="R53" t="s">
        <v>1379</v>
      </c>
      <c r="T53" t="s">
        <v>1380</v>
      </c>
      <c r="V53" t="s">
        <v>1381</v>
      </c>
      <c r="X53" t="s">
        <v>1382</v>
      </c>
      <c r="Z53" t="s">
        <v>1383</v>
      </c>
      <c r="AB53" t="s">
        <v>1384</v>
      </c>
      <c r="AD53" t="s">
        <v>1385</v>
      </c>
      <c r="AF53" t="s">
        <v>1386</v>
      </c>
      <c r="AH53" t="s">
        <v>1387</v>
      </c>
      <c r="AJ53" t="s">
        <v>830</v>
      </c>
      <c r="AL53" t="s">
        <v>1388</v>
      </c>
      <c r="AN53" t="s">
        <v>1389</v>
      </c>
      <c r="AP53" t="s">
        <v>1390</v>
      </c>
      <c r="AQ53" t="s">
        <v>1391</v>
      </c>
    </row>
    <row r="54" spans="1:43">
      <c r="B54" t="s">
        <v>31</v>
      </c>
    </row>
    <row r="55" spans="1:43">
      <c r="B55" t="s">
        <v>1373</v>
      </c>
      <c r="R55" t="s">
        <v>1392</v>
      </c>
      <c r="T55" t="s">
        <v>1393</v>
      </c>
      <c r="V55" t="s">
        <v>1394</v>
      </c>
      <c r="X55" t="s">
        <v>1395</v>
      </c>
      <c r="Z55" t="s">
        <v>1396</v>
      </c>
      <c r="AB55" t="s">
        <v>1397</v>
      </c>
      <c r="AD55" t="s">
        <v>1398</v>
      </c>
      <c r="AF55" t="s">
        <v>1399</v>
      </c>
      <c r="AH55" t="s">
        <v>1400</v>
      </c>
      <c r="AJ55" t="s">
        <v>1401</v>
      </c>
      <c r="AL55" t="s">
        <v>1402</v>
      </c>
      <c r="AN55" t="s">
        <v>1403</v>
      </c>
      <c r="AP55" t="s">
        <v>1404</v>
      </c>
      <c r="AQ55" t="s">
        <v>1405</v>
      </c>
    </row>
    <row r="56" spans="1:43">
      <c r="B56" t="s">
        <v>1406</v>
      </c>
    </row>
    <row r="57" spans="1:43">
      <c r="B57" t="s">
        <v>1407</v>
      </c>
      <c r="R57" t="s">
        <v>1408</v>
      </c>
      <c r="T57" t="s">
        <v>1409</v>
      </c>
      <c r="V57" t="s">
        <v>1410</v>
      </c>
      <c r="X57" t="s">
        <v>1411</v>
      </c>
      <c r="Z57" t="s">
        <v>1412</v>
      </c>
      <c r="AB57" t="s">
        <v>1413</v>
      </c>
      <c r="AD57" t="s">
        <v>1414</v>
      </c>
      <c r="AF57" t="s">
        <v>1415</v>
      </c>
      <c r="AH57" t="s">
        <v>1416</v>
      </c>
      <c r="AJ57" t="s">
        <v>1417</v>
      </c>
      <c r="AL57" t="s">
        <v>1418</v>
      </c>
      <c r="AN57" t="s">
        <v>1419</v>
      </c>
      <c r="AP57" t="s">
        <v>1420</v>
      </c>
      <c r="AQ57" t="s">
        <v>1421</v>
      </c>
    </row>
    <row r="58" spans="1:43">
      <c r="B58" t="s">
        <v>1422</v>
      </c>
    </row>
    <row r="59" spans="1:43">
      <c r="B59" t="s">
        <v>62</v>
      </c>
      <c r="R59" t="s">
        <v>1423</v>
      </c>
    </row>
    <row r="60" spans="1:43">
      <c r="B60" t="s">
        <v>62</v>
      </c>
    </row>
    <row r="61" spans="1:43">
      <c r="B61" t="s">
        <v>1424</v>
      </c>
      <c r="R61" t="s">
        <v>1425</v>
      </c>
    </row>
    <row r="62" spans="1:43">
      <c r="B62" t="s">
        <v>31</v>
      </c>
      <c r="E62" t="s">
        <v>1426</v>
      </c>
      <c r="H62" t="s">
        <v>336</v>
      </c>
    </row>
    <row r="63" spans="1:43">
      <c r="A63" t="s">
        <v>236</v>
      </c>
      <c r="B63" t="s">
        <v>1427</v>
      </c>
      <c r="K63" t="s">
        <v>1428</v>
      </c>
      <c r="L63" t="s">
        <v>1278</v>
      </c>
      <c r="M63" t="s">
        <v>1279</v>
      </c>
      <c r="N63" t="s">
        <v>1280</v>
      </c>
      <c r="O63" t="s">
        <v>1429</v>
      </c>
      <c r="P63" t="s">
        <v>1430</v>
      </c>
      <c r="R63" t="s">
        <v>1431</v>
      </c>
      <c r="T63" t="s">
        <v>1432</v>
      </c>
      <c r="V63" t="s">
        <v>1433</v>
      </c>
      <c r="X63" t="s">
        <v>1434</v>
      </c>
      <c r="Z63" t="s">
        <v>1435</v>
      </c>
      <c r="AB63" t="s">
        <v>1436</v>
      </c>
      <c r="AD63" t="s">
        <v>1437</v>
      </c>
      <c r="AF63" t="s">
        <v>1438</v>
      </c>
      <c r="AH63" t="s">
        <v>1439</v>
      </c>
      <c r="AJ63" t="s">
        <v>830</v>
      </c>
      <c r="AL63" t="s">
        <v>1440</v>
      </c>
      <c r="AN63" t="s">
        <v>1441</v>
      </c>
      <c r="AP63" t="s">
        <v>1442</v>
      </c>
      <c r="AQ63" t="s">
        <v>1443</v>
      </c>
    </row>
    <row r="64" spans="1:43">
      <c r="B64" t="s">
        <v>1424</v>
      </c>
    </row>
    <row r="65" spans="1:58">
      <c r="B65" t="s">
        <v>1444</v>
      </c>
      <c r="R65" t="s">
        <v>1445</v>
      </c>
      <c r="T65" t="s">
        <v>1446</v>
      </c>
      <c r="V65" t="s">
        <v>1447</v>
      </c>
      <c r="X65" t="s">
        <v>1448</v>
      </c>
      <c r="Z65" t="s">
        <v>1449</v>
      </c>
      <c r="AB65" t="s">
        <v>1450</v>
      </c>
      <c r="AD65" t="s">
        <v>1451</v>
      </c>
      <c r="AF65" t="s">
        <v>1452</v>
      </c>
      <c r="AH65" t="s">
        <v>1453</v>
      </c>
      <c r="AJ65" t="s">
        <v>1454</v>
      </c>
      <c r="AL65" t="s">
        <v>1455</v>
      </c>
      <c r="AN65" t="s">
        <v>1456</v>
      </c>
      <c r="AP65" t="s">
        <v>1457</v>
      </c>
      <c r="AQ65" t="s">
        <v>1458</v>
      </c>
    </row>
    <row r="66" spans="1:58">
      <c r="B66" t="s">
        <v>1424</v>
      </c>
    </row>
    <row r="67" spans="1:58">
      <c r="B67" t="s">
        <v>31</v>
      </c>
      <c r="E67" t="s">
        <v>1426</v>
      </c>
      <c r="H67" t="s">
        <v>364</v>
      </c>
      <c r="AH67" t="s">
        <v>1459</v>
      </c>
    </row>
    <row r="68" spans="1:58">
      <c r="B68" t="s">
        <v>31</v>
      </c>
    </row>
    <row r="69" spans="1:58">
      <c r="B69" t="s">
        <v>31</v>
      </c>
      <c r="H69" t="s">
        <v>365</v>
      </c>
      <c r="I69" t="s">
        <v>1460</v>
      </c>
    </row>
    <row r="70" spans="1:58">
      <c r="B70" t="s">
        <v>1461</v>
      </c>
      <c r="I70" t="s">
        <v>1462</v>
      </c>
      <c r="R70" t="s">
        <v>1463</v>
      </c>
      <c r="AU70" t="s">
        <v>301</v>
      </c>
      <c r="AV70" t="s">
        <v>1319</v>
      </c>
      <c r="AW70" t="s">
        <v>1320</v>
      </c>
      <c r="AX70" t="s">
        <v>1321</v>
      </c>
      <c r="AY70" t="s">
        <v>1322</v>
      </c>
      <c r="AZ70" t="s">
        <v>327</v>
      </c>
      <c r="BA70" t="s">
        <v>328</v>
      </c>
      <c r="BB70" t="s">
        <v>329</v>
      </c>
      <c r="BC70" t="s">
        <v>330</v>
      </c>
      <c r="BD70" t="s">
        <v>289</v>
      </c>
      <c r="BE70" t="s">
        <v>331</v>
      </c>
      <c r="BF70" t="s">
        <v>332</v>
      </c>
    </row>
    <row r="71" spans="1:58">
      <c r="A71" t="s">
        <v>236</v>
      </c>
      <c r="B71" t="s">
        <v>1464</v>
      </c>
      <c r="I71" t="s">
        <v>1092</v>
      </c>
      <c r="K71" t="s">
        <v>1465</v>
      </c>
      <c r="L71" t="s">
        <v>1278</v>
      </c>
      <c r="M71" t="s">
        <v>1279</v>
      </c>
      <c r="N71" t="s">
        <v>1280</v>
      </c>
      <c r="O71" t="s">
        <v>1466</v>
      </c>
      <c r="P71" t="s">
        <v>1467</v>
      </c>
      <c r="R71" t="s">
        <v>1468</v>
      </c>
      <c r="T71" t="s">
        <v>1469</v>
      </c>
      <c r="V71" t="s">
        <v>1470</v>
      </c>
      <c r="X71" t="s">
        <v>1471</v>
      </c>
      <c r="Z71" t="s">
        <v>1472</v>
      </c>
      <c r="AB71" t="s">
        <v>1473</v>
      </c>
      <c r="AD71" t="s">
        <v>1474</v>
      </c>
      <c r="AF71" t="s">
        <v>1475</v>
      </c>
      <c r="AH71" t="s">
        <v>1476</v>
      </c>
      <c r="AJ71" t="s">
        <v>830</v>
      </c>
      <c r="AL71" t="s">
        <v>1477</v>
      </c>
      <c r="AN71" t="s">
        <v>1478</v>
      </c>
      <c r="AP71" t="s">
        <v>1479</v>
      </c>
      <c r="AQ71" t="s">
        <v>1480</v>
      </c>
    </row>
    <row r="72" spans="1:58">
      <c r="B72" t="s">
        <v>31</v>
      </c>
      <c r="I72" t="s">
        <v>1481</v>
      </c>
    </row>
    <row r="73" spans="1:58">
      <c r="B73" t="s">
        <v>1461</v>
      </c>
      <c r="I73" t="s">
        <v>1482</v>
      </c>
      <c r="R73" t="s">
        <v>1483</v>
      </c>
      <c r="T73" t="s">
        <v>1484</v>
      </c>
      <c r="V73" t="s">
        <v>1485</v>
      </c>
      <c r="X73" t="s">
        <v>1486</v>
      </c>
      <c r="Z73" t="s">
        <v>1487</v>
      </c>
      <c r="AB73" t="s">
        <v>1488</v>
      </c>
      <c r="AD73" t="s">
        <v>1489</v>
      </c>
      <c r="AF73" t="s">
        <v>1490</v>
      </c>
      <c r="AH73" t="s">
        <v>1491</v>
      </c>
      <c r="AJ73" t="s">
        <v>1492</v>
      </c>
      <c r="AL73" t="s">
        <v>1493</v>
      </c>
      <c r="AN73" t="s">
        <v>1494</v>
      </c>
      <c r="AP73" t="s">
        <v>1495</v>
      </c>
      <c r="AQ73" t="s">
        <v>1496</v>
      </c>
      <c r="AU73" t="s">
        <v>1497</v>
      </c>
      <c r="AV73" t="s">
        <v>1498</v>
      </c>
      <c r="AW73" t="s">
        <v>1499</v>
      </c>
      <c r="AX73" t="s">
        <v>1500</v>
      </c>
      <c r="AY73" t="s">
        <v>1501</v>
      </c>
      <c r="AZ73" t="s">
        <v>1502</v>
      </c>
      <c r="BA73" t="s">
        <v>1503</v>
      </c>
      <c r="BB73" t="s">
        <v>1504</v>
      </c>
      <c r="BC73" t="s">
        <v>1505</v>
      </c>
      <c r="BD73" t="s">
        <v>1506</v>
      </c>
      <c r="BE73" t="s">
        <v>1507</v>
      </c>
      <c r="BF73" t="s">
        <v>1508</v>
      </c>
    </row>
    <row r="74" spans="1:58">
      <c r="B74" t="s">
        <v>1509</v>
      </c>
      <c r="I74" t="s">
        <v>1510</v>
      </c>
    </row>
    <row r="75" spans="1:58">
      <c r="B75" t="s">
        <v>31</v>
      </c>
    </row>
    <row r="76" spans="1:58">
      <c r="B76" t="s">
        <v>31</v>
      </c>
      <c r="R76" t="s">
        <v>437</v>
      </c>
      <c r="T76" t="s">
        <v>1511</v>
      </c>
      <c r="V76" t="s">
        <v>1512</v>
      </c>
      <c r="X76" t="s">
        <v>1513</v>
      </c>
      <c r="Z76" t="s">
        <v>1514</v>
      </c>
      <c r="AB76" t="s">
        <v>1515</v>
      </c>
      <c r="AD76" t="s">
        <v>1516</v>
      </c>
      <c r="AF76" t="s">
        <v>1517</v>
      </c>
      <c r="AH76" t="s">
        <v>1518</v>
      </c>
      <c r="AJ76" t="s">
        <v>1519</v>
      </c>
      <c r="AL76" t="s">
        <v>1520</v>
      </c>
      <c r="AN76" t="s">
        <v>1521</v>
      </c>
      <c r="AP76" t="s">
        <v>1522</v>
      </c>
    </row>
    <row r="77" spans="1:58">
      <c r="B77" t="s">
        <v>31</v>
      </c>
      <c r="E77" t="s">
        <v>438</v>
      </c>
      <c r="AH77" t="s">
        <v>1523</v>
      </c>
    </row>
    <row r="78" spans="1:58">
      <c r="B78" t="s">
        <v>1524</v>
      </c>
      <c r="R78" t="s">
        <v>439</v>
      </c>
    </row>
    <row r="79" spans="1:58">
      <c r="A79" t="s">
        <v>236</v>
      </c>
      <c r="B79" t="s">
        <v>1525</v>
      </c>
      <c r="K79" t="s">
        <v>1526</v>
      </c>
      <c r="L79" t="s">
        <v>1278</v>
      </c>
      <c r="M79" t="s">
        <v>1279</v>
      </c>
      <c r="N79" t="s">
        <v>1280</v>
      </c>
      <c r="O79" t="s">
        <v>1527</v>
      </c>
      <c r="P79" t="s">
        <v>1528</v>
      </c>
      <c r="R79" t="s">
        <v>1529</v>
      </c>
      <c r="T79" t="s">
        <v>1530</v>
      </c>
      <c r="V79" t="s">
        <v>1531</v>
      </c>
      <c r="X79" t="s">
        <v>1532</v>
      </c>
      <c r="Z79" t="s">
        <v>1533</v>
      </c>
      <c r="AB79" t="s">
        <v>1534</v>
      </c>
      <c r="AD79" t="s">
        <v>1535</v>
      </c>
      <c r="AF79" t="s">
        <v>1536</v>
      </c>
      <c r="AH79" t="s">
        <v>1537</v>
      </c>
      <c r="AJ79" t="s">
        <v>830</v>
      </c>
      <c r="AL79" t="s">
        <v>1538</v>
      </c>
      <c r="AN79" t="s">
        <v>1539</v>
      </c>
      <c r="AP79" t="s">
        <v>1540</v>
      </c>
      <c r="AQ79" t="s">
        <v>1541</v>
      </c>
    </row>
    <row r="80" spans="1:58">
      <c r="B80" t="s">
        <v>31</v>
      </c>
    </row>
    <row r="81" spans="1:43">
      <c r="B81" t="s">
        <v>1524</v>
      </c>
      <c r="R81" t="s">
        <v>440</v>
      </c>
      <c r="T81" t="s">
        <v>1542</v>
      </c>
      <c r="V81" t="s">
        <v>1543</v>
      </c>
      <c r="X81" t="s">
        <v>1544</v>
      </c>
      <c r="Z81" t="s">
        <v>1545</v>
      </c>
      <c r="AB81" t="s">
        <v>1546</v>
      </c>
      <c r="AD81" t="s">
        <v>1547</v>
      </c>
      <c r="AF81" t="s">
        <v>1548</v>
      </c>
      <c r="AH81" t="s">
        <v>1549</v>
      </c>
      <c r="AJ81" t="s">
        <v>1550</v>
      </c>
      <c r="AL81" t="s">
        <v>1551</v>
      </c>
      <c r="AN81" t="s">
        <v>1552</v>
      </c>
      <c r="AP81" t="s">
        <v>1553</v>
      </c>
      <c r="AQ81" t="s">
        <v>1554</v>
      </c>
    </row>
    <row r="82" spans="1:43">
      <c r="B82" t="s">
        <v>1555</v>
      </c>
      <c r="E82" t="s">
        <v>1556</v>
      </c>
      <c r="H82" t="s">
        <v>441</v>
      </c>
    </row>
    <row r="83" spans="1:43">
      <c r="B83" t="s">
        <v>1557</v>
      </c>
      <c r="R83" t="s">
        <v>166</v>
      </c>
    </row>
    <row r="84" spans="1:43">
      <c r="A84" t="s">
        <v>236</v>
      </c>
      <c r="B84" t="s">
        <v>1558</v>
      </c>
      <c r="K84" t="s">
        <v>1559</v>
      </c>
      <c r="L84" t="s">
        <v>1278</v>
      </c>
      <c r="M84" t="s">
        <v>1279</v>
      </c>
      <c r="N84" t="s">
        <v>1280</v>
      </c>
      <c r="O84" t="s">
        <v>1560</v>
      </c>
      <c r="P84" t="s">
        <v>1561</v>
      </c>
      <c r="R84" t="s">
        <v>1562</v>
      </c>
      <c r="T84" t="s">
        <v>1563</v>
      </c>
      <c r="V84" t="s">
        <v>1564</v>
      </c>
      <c r="X84" t="s">
        <v>1565</v>
      </c>
      <c r="Z84" t="s">
        <v>1566</v>
      </c>
      <c r="AB84" t="s">
        <v>1567</v>
      </c>
      <c r="AD84" t="s">
        <v>1568</v>
      </c>
      <c r="AF84" t="s">
        <v>1569</v>
      </c>
      <c r="AH84" t="s">
        <v>1570</v>
      </c>
      <c r="AJ84" t="s">
        <v>830</v>
      </c>
      <c r="AL84" t="s">
        <v>1571</v>
      </c>
      <c r="AN84" t="s">
        <v>1572</v>
      </c>
      <c r="AP84" t="s">
        <v>1573</v>
      </c>
      <c r="AQ84" t="s">
        <v>1574</v>
      </c>
    </row>
    <row r="85" spans="1:43">
      <c r="B85" t="s">
        <v>31</v>
      </c>
    </row>
    <row r="86" spans="1:43">
      <c r="B86" t="s">
        <v>1557</v>
      </c>
      <c r="R86" t="s">
        <v>444</v>
      </c>
      <c r="T86" t="s">
        <v>1575</v>
      </c>
      <c r="V86" t="s">
        <v>1576</v>
      </c>
      <c r="X86" t="s">
        <v>1577</v>
      </c>
      <c r="Z86" t="s">
        <v>1578</v>
      </c>
      <c r="AB86" t="s">
        <v>1579</v>
      </c>
      <c r="AD86" t="s">
        <v>1580</v>
      </c>
      <c r="AF86" t="s">
        <v>1581</v>
      </c>
      <c r="AH86" t="s">
        <v>1582</v>
      </c>
      <c r="AJ86" t="s">
        <v>1583</v>
      </c>
      <c r="AL86" t="s">
        <v>1584</v>
      </c>
      <c r="AN86" t="s">
        <v>1585</v>
      </c>
      <c r="AP86" t="s">
        <v>1586</v>
      </c>
      <c r="AQ86" t="s">
        <v>1587</v>
      </c>
    </row>
    <row r="87" spans="1:43">
      <c r="B87" t="s">
        <v>1588</v>
      </c>
    </row>
    <row r="88" spans="1:43">
      <c r="B88" t="s">
        <v>1589</v>
      </c>
      <c r="R88" t="s">
        <v>1590</v>
      </c>
      <c r="T88" t="s">
        <v>1591</v>
      </c>
      <c r="V88" t="s">
        <v>1592</v>
      </c>
      <c r="X88" t="s">
        <v>1593</v>
      </c>
      <c r="Z88" t="s">
        <v>1594</v>
      </c>
      <c r="AB88" t="s">
        <v>1595</v>
      </c>
      <c r="AD88" t="s">
        <v>1596</v>
      </c>
      <c r="AF88" t="s">
        <v>1597</v>
      </c>
      <c r="AH88" t="s">
        <v>1598</v>
      </c>
      <c r="AJ88" t="s">
        <v>1599</v>
      </c>
      <c r="AL88" t="s">
        <v>1600</v>
      </c>
      <c r="AN88" t="s">
        <v>1601</v>
      </c>
      <c r="AP88" t="s">
        <v>1602</v>
      </c>
      <c r="AQ88" t="s">
        <v>1603</v>
      </c>
    </row>
    <row r="89" spans="1:43">
      <c r="B89" t="s">
        <v>1604</v>
      </c>
      <c r="E89" t="s">
        <v>1556</v>
      </c>
      <c r="H89" t="s">
        <v>1605</v>
      </c>
    </row>
    <row r="90" spans="1:43">
      <c r="B90" t="s">
        <v>1606</v>
      </c>
      <c r="R90" t="s">
        <v>445</v>
      </c>
    </row>
    <row r="91" spans="1:43">
      <c r="A91" t="s">
        <v>236</v>
      </c>
      <c r="B91" t="s">
        <v>1607</v>
      </c>
      <c r="K91" t="s">
        <v>1608</v>
      </c>
      <c r="L91" t="s">
        <v>1278</v>
      </c>
      <c r="M91" t="s">
        <v>1279</v>
      </c>
      <c r="N91" t="s">
        <v>1280</v>
      </c>
      <c r="O91" t="s">
        <v>1609</v>
      </c>
      <c r="P91" t="s">
        <v>1610</v>
      </c>
      <c r="R91" t="s">
        <v>1611</v>
      </c>
      <c r="T91" t="s">
        <v>1612</v>
      </c>
      <c r="V91" t="s">
        <v>1613</v>
      </c>
      <c r="X91" t="s">
        <v>1614</v>
      </c>
      <c r="Z91" t="s">
        <v>1615</v>
      </c>
      <c r="AB91" t="s">
        <v>1616</v>
      </c>
      <c r="AD91" t="s">
        <v>1617</v>
      </c>
      <c r="AF91" t="s">
        <v>1618</v>
      </c>
      <c r="AH91" t="s">
        <v>1619</v>
      </c>
      <c r="AJ91" t="s">
        <v>830</v>
      </c>
      <c r="AL91" t="s">
        <v>1620</v>
      </c>
      <c r="AN91" t="s">
        <v>1621</v>
      </c>
      <c r="AP91" t="s">
        <v>1622</v>
      </c>
      <c r="AQ91" t="s">
        <v>1623</v>
      </c>
    </row>
    <row r="92" spans="1:43">
      <c r="B92" t="s">
        <v>31</v>
      </c>
    </row>
    <row r="93" spans="1:43">
      <c r="B93" t="s">
        <v>1606</v>
      </c>
      <c r="R93" t="s">
        <v>448</v>
      </c>
      <c r="T93" t="s">
        <v>1624</v>
      </c>
      <c r="V93" t="s">
        <v>1625</v>
      </c>
      <c r="X93" t="s">
        <v>1626</v>
      </c>
      <c r="Z93" t="s">
        <v>1627</v>
      </c>
      <c r="AB93" t="s">
        <v>1628</v>
      </c>
      <c r="AD93" t="s">
        <v>1629</v>
      </c>
      <c r="AF93" t="s">
        <v>1630</v>
      </c>
      <c r="AH93" t="s">
        <v>1631</v>
      </c>
      <c r="AJ93" t="s">
        <v>1632</v>
      </c>
      <c r="AL93" t="s">
        <v>1633</v>
      </c>
      <c r="AN93" t="s">
        <v>1634</v>
      </c>
      <c r="AP93" t="s">
        <v>1635</v>
      </c>
      <c r="AQ93" t="s">
        <v>1636</v>
      </c>
    </row>
    <row r="94" spans="1:43">
      <c r="B94" t="s">
        <v>1637</v>
      </c>
    </row>
    <row r="95" spans="1:43">
      <c r="B95" t="s">
        <v>62</v>
      </c>
      <c r="N95" t="s">
        <v>1638</v>
      </c>
      <c r="R95" t="s">
        <v>1639</v>
      </c>
      <c r="T95" t="s">
        <v>1640</v>
      </c>
      <c r="V95" t="s">
        <v>1641</v>
      </c>
      <c r="X95" t="s">
        <v>1642</v>
      </c>
      <c r="Z95" t="s">
        <v>1643</v>
      </c>
      <c r="AB95" t="s">
        <v>1644</v>
      </c>
      <c r="AD95" t="s">
        <v>1645</v>
      </c>
      <c r="AF95" t="s">
        <v>1646</v>
      </c>
      <c r="AH95" t="s">
        <v>1647</v>
      </c>
      <c r="AJ95" t="s">
        <v>1648</v>
      </c>
      <c r="AL95" t="s">
        <v>1649</v>
      </c>
      <c r="AN95" t="s">
        <v>1650</v>
      </c>
      <c r="AP95" t="s">
        <v>1651</v>
      </c>
      <c r="AQ95" t="s">
        <v>1652</v>
      </c>
    </row>
    <row r="96" spans="1:43">
      <c r="B96" t="s">
        <v>62</v>
      </c>
    </row>
    <row r="97" spans="1:43">
      <c r="B97" t="s">
        <v>1653</v>
      </c>
      <c r="R97" t="s">
        <v>1654</v>
      </c>
    </row>
    <row r="98" spans="1:43">
      <c r="B98" t="s">
        <v>62</v>
      </c>
      <c r="R98" t="s">
        <v>1655</v>
      </c>
      <c r="T98" t="s">
        <v>1656</v>
      </c>
      <c r="V98" t="s">
        <v>1657</v>
      </c>
      <c r="X98" t="s">
        <v>1658</v>
      </c>
      <c r="Z98" t="s">
        <v>1659</v>
      </c>
      <c r="AB98" t="s">
        <v>1660</v>
      </c>
      <c r="AD98" t="s">
        <v>1661</v>
      </c>
      <c r="AF98" t="s">
        <v>1662</v>
      </c>
      <c r="AH98" t="s">
        <v>1663</v>
      </c>
      <c r="AJ98" t="s">
        <v>1664</v>
      </c>
      <c r="AL98" t="s">
        <v>1665</v>
      </c>
      <c r="AN98" t="s">
        <v>1666</v>
      </c>
      <c r="AP98" t="s">
        <v>1667</v>
      </c>
      <c r="AQ98" t="s">
        <v>1668</v>
      </c>
    </row>
    <row r="99" spans="1:43">
      <c r="B99" t="s">
        <v>62</v>
      </c>
    </row>
    <row r="100" spans="1:43">
      <c r="B100" t="s">
        <v>31</v>
      </c>
    </row>
    <row r="101" spans="1:43">
      <c r="B101" t="s">
        <v>31</v>
      </c>
      <c r="T101" t="s">
        <v>1669</v>
      </c>
      <c r="V101" t="s">
        <v>1670</v>
      </c>
      <c r="X101" t="s">
        <v>1671</v>
      </c>
      <c r="Z101" t="s">
        <v>1672</v>
      </c>
      <c r="AB101" t="s">
        <v>1673</v>
      </c>
      <c r="AD101" t="s">
        <v>1674</v>
      </c>
      <c r="AF101" t="s">
        <v>1675</v>
      </c>
      <c r="AH101" t="s">
        <v>1676</v>
      </c>
      <c r="AJ101" t="s">
        <v>830</v>
      </c>
      <c r="AL101" t="s">
        <v>830</v>
      </c>
      <c r="AN101" t="s">
        <v>1677</v>
      </c>
      <c r="AP101" t="s">
        <v>1678</v>
      </c>
    </row>
    <row r="102" spans="1:43">
      <c r="B102" t="s">
        <v>1679</v>
      </c>
      <c r="E102" t="s">
        <v>451</v>
      </c>
      <c r="R102" t="s">
        <v>452</v>
      </c>
    </row>
    <row r="103" spans="1:43">
      <c r="B103" t="s">
        <v>1680</v>
      </c>
    </row>
    <row r="104" spans="1:43">
      <c r="A104" t="s">
        <v>236</v>
      </c>
      <c r="B104" t="s">
        <v>1681</v>
      </c>
      <c r="K104" t="s">
        <v>1682</v>
      </c>
      <c r="L104" t="s">
        <v>1278</v>
      </c>
      <c r="M104" t="s">
        <v>1279</v>
      </c>
      <c r="N104" t="s">
        <v>1280</v>
      </c>
      <c r="O104" t="s">
        <v>1683</v>
      </c>
      <c r="P104" t="s">
        <v>1684</v>
      </c>
      <c r="R104" t="s">
        <v>1685</v>
      </c>
      <c r="T104" t="s">
        <v>1686</v>
      </c>
      <c r="V104" t="s">
        <v>1687</v>
      </c>
      <c r="X104" t="s">
        <v>1688</v>
      </c>
      <c r="Z104" t="s">
        <v>1689</v>
      </c>
      <c r="AB104" t="s">
        <v>1690</v>
      </c>
      <c r="AD104" t="s">
        <v>1691</v>
      </c>
      <c r="AF104" t="s">
        <v>1692</v>
      </c>
      <c r="AH104" t="s">
        <v>1693</v>
      </c>
      <c r="AJ104" t="s">
        <v>830</v>
      </c>
      <c r="AL104" t="s">
        <v>1694</v>
      </c>
      <c r="AN104" t="s">
        <v>1695</v>
      </c>
      <c r="AP104" t="s">
        <v>1696</v>
      </c>
      <c r="AQ104" t="s">
        <v>1697</v>
      </c>
    </row>
    <row r="105" spans="1:43">
      <c r="B105" t="s">
        <v>31</v>
      </c>
    </row>
    <row r="106" spans="1:43">
      <c r="B106" t="s">
        <v>31</v>
      </c>
      <c r="T106" t="s">
        <v>1698</v>
      </c>
      <c r="V106" t="s">
        <v>1699</v>
      </c>
      <c r="X106" t="s">
        <v>1700</v>
      </c>
      <c r="Z106" t="s">
        <v>1701</v>
      </c>
      <c r="AB106" t="s">
        <v>1702</v>
      </c>
      <c r="AD106" t="s">
        <v>1703</v>
      </c>
      <c r="AF106" t="s">
        <v>1704</v>
      </c>
      <c r="AH106" t="s">
        <v>1705</v>
      </c>
      <c r="AJ106" t="s">
        <v>1706</v>
      </c>
      <c r="AL106" t="s">
        <v>1707</v>
      </c>
      <c r="AN106" t="s">
        <v>1708</v>
      </c>
      <c r="AP106" t="s">
        <v>1709</v>
      </c>
      <c r="AQ106" t="s">
        <v>1710</v>
      </c>
    </row>
    <row r="107" spans="1:43">
      <c r="A107" t="s">
        <v>236</v>
      </c>
      <c r="B107" t="s">
        <v>1679</v>
      </c>
      <c r="K107" t="s">
        <v>1711</v>
      </c>
      <c r="L107" t="s">
        <v>1278</v>
      </c>
      <c r="M107" t="s">
        <v>1279</v>
      </c>
      <c r="N107" t="s">
        <v>1280</v>
      </c>
      <c r="O107" t="s">
        <v>1712</v>
      </c>
      <c r="P107" t="s">
        <v>1713</v>
      </c>
      <c r="R107" t="s">
        <v>457</v>
      </c>
      <c r="T107" t="s">
        <v>1714</v>
      </c>
      <c r="V107" t="s">
        <v>1715</v>
      </c>
      <c r="X107" t="s">
        <v>1716</v>
      </c>
      <c r="Z107" t="s">
        <v>1717</v>
      </c>
      <c r="AB107" t="s">
        <v>1718</v>
      </c>
      <c r="AD107" t="s">
        <v>1719</v>
      </c>
      <c r="AF107" t="s">
        <v>1720</v>
      </c>
      <c r="AH107" t="s">
        <v>1721</v>
      </c>
      <c r="AJ107" t="s">
        <v>1722</v>
      </c>
      <c r="AL107" t="s">
        <v>1723</v>
      </c>
      <c r="AN107" t="s">
        <v>1724</v>
      </c>
      <c r="AP107" t="s">
        <v>1725</v>
      </c>
      <c r="AQ107" t="s">
        <v>1726</v>
      </c>
    </row>
    <row r="108" spans="1:43">
      <c r="B108" t="s">
        <v>1727</v>
      </c>
    </row>
    <row r="109" spans="1:43">
      <c r="B109" t="s">
        <v>1728</v>
      </c>
      <c r="R109" t="s">
        <v>458</v>
      </c>
      <c r="T109" t="s">
        <v>1729</v>
      </c>
      <c r="V109" t="s">
        <v>1730</v>
      </c>
      <c r="X109" t="s">
        <v>1731</v>
      </c>
      <c r="Z109" t="s">
        <v>1732</v>
      </c>
      <c r="AB109" t="s">
        <v>1733</v>
      </c>
      <c r="AD109" t="s">
        <v>1734</v>
      </c>
      <c r="AF109" t="s">
        <v>1735</v>
      </c>
      <c r="AH109" t="s">
        <v>1736</v>
      </c>
      <c r="AJ109" t="s">
        <v>1737</v>
      </c>
      <c r="AL109" t="s">
        <v>1738</v>
      </c>
      <c r="AN109" t="s">
        <v>1739</v>
      </c>
      <c r="AP109" t="s">
        <v>1740</v>
      </c>
      <c r="AQ109" t="s">
        <v>1741</v>
      </c>
    </row>
    <row r="110" spans="1:43">
      <c r="B110" t="s">
        <v>1727</v>
      </c>
    </row>
    <row r="111" spans="1:43">
      <c r="B111" t="s">
        <v>62</v>
      </c>
      <c r="R111" t="s">
        <v>1742</v>
      </c>
      <c r="T111" t="s">
        <v>1743</v>
      </c>
      <c r="V111" t="s">
        <v>1744</v>
      </c>
      <c r="X111" t="s">
        <v>1745</v>
      </c>
      <c r="Z111" t="s">
        <v>1746</v>
      </c>
      <c r="AB111" t="s">
        <v>1747</v>
      </c>
      <c r="AD111" t="s">
        <v>1748</v>
      </c>
      <c r="AF111" t="s">
        <v>1749</v>
      </c>
      <c r="AH111" t="s">
        <v>1750</v>
      </c>
      <c r="AJ111" t="s">
        <v>1751</v>
      </c>
      <c r="AL111" t="s">
        <v>1752</v>
      </c>
      <c r="AN111" t="s">
        <v>1753</v>
      </c>
      <c r="AP111" t="s">
        <v>1754</v>
      </c>
      <c r="AQ111" t="s">
        <v>1755</v>
      </c>
    </row>
    <row r="112" spans="1:43">
      <c r="B112" t="s">
        <v>62</v>
      </c>
    </row>
    <row r="113" spans="2:43">
      <c r="B113" t="s">
        <v>31</v>
      </c>
      <c r="O113" t="s">
        <v>459</v>
      </c>
      <c r="P113" t="s">
        <v>1756</v>
      </c>
      <c r="R113" t="s">
        <v>460</v>
      </c>
      <c r="T113" t="s">
        <v>1757</v>
      </c>
      <c r="V113" t="s">
        <v>1758</v>
      </c>
      <c r="X113" t="s">
        <v>1759</v>
      </c>
      <c r="Z113" t="s">
        <v>1760</v>
      </c>
      <c r="AB113" t="s">
        <v>1761</v>
      </c>
      <c r="AD113" t="s">
        <v>1762</v>
      </c>
      <c r="AF113" t="s">
        <v>1763</v>
      </c>
      <c r="AH113" t="s">
        <v>1764</v>
      </c>
      <c r="AJ113" t="s">
        <v>830</v>
      </c>
      <c r="AL113" t="s">
        <v>1765</v>
      </c>
      <c r="AN113" t="s">
        <v>830</v>
      </c>
      <c r="AP113" t="s">
        <v>830</v>
      </c>
      <c r="AQ113" t="s">
        <v>1766</v>
      </c>
    </row>
    <row r="114" spans="2:43">
      <c r="B114" t="s">
        <v>31</v>
      </c>
      <c r="R114" t="s">
        <v>461</v>
      </c>
      <c r="T114" t="s">
        <v>830</v>
      </c>
      <c r="V114" t="s">
        <v>830</v>
      </c>
      <c r="X114" t="s">
        <v>830</v>
      </c>
      <c r="Z114" t="s">
        <v>830</v>
      </c>
      <c r="AB114" t="s">
        <v>830</v>
      </c>
      <c r="AF114" t="s">
        <v>1767</v>
      </c>
      <c r="AH114" t="s">
        <v>1768</v>
      </c>
      <c r="AJ114" t="s">
        <v>830</v>
      </c>
      <c r="AN114" t="s">
        <v>830</v>
      </c>
      <c r="AP114" t="s">
        <v>830</v>
      </c>
      <c r="AQ114" t="s">
        <v>1769</v>
      </c>
    </row>
    <row r="115" spans="2:43">
      <c r="B115" t="s">
        <v>31</v>
      </c>
      <c r="R115" t="s">
        <v>462</v>
      </c>
      <c r="T115" t="s">
        <v>1770</v>
      </c>
      <c r="V115" t="s">
        <v>1771</v>
      </c>
      <c r="X115" t="s">
        <v>1772</v>
      </c>
      <c r="Z115" t="s">
        <v>1773</v>
      </c>
      <c r="AB115" t="s">
        <v>1774</v>
      </c>
      <c r="AD115" t="s">
        <v>1775</v>
      </c>
      <c r="AF115" t="s">
        <v>1776</v>
      </c>
      <c r="AH115" t="s">
        <v>1777</v>
      </c>
      <c r="AJ115" t="s">
        <v>830</v>
      </c>
      <c r="AL115" t="s">
        <v>1778</v>
      </c>
      <c r="AN115" t="s">
        <v>830</v>
      </c>
      <c r="AP115" t="s">
        <v>830</v>
      </c>
      <c r="AQ115" t="s">
        <v>1779</v>
      </c>
    </row>
    <row r="116" spans="2:43">
      <c r="B116" t="s">
        <v>62</v>
      </c>
      <c r="O116" t="s">
        <v>459</v>
      </c>
      <c r="P116" t="s">
        <v>1756</v>
      </c>
      <c r="R116" t="s">
        <v>1780</v>
      </c>
      <c r="T116" t="s">
        <v>1781</v>
      </c>
      <c r="V116" t="s">
        <v>1782</v>
      </c>
      <c r="X116" t="s">
        <v>1783</v>
      </c>
      <c r="Z116" t="s">
        <v>1784</v>
      </c>
      <c r="AB116" t="s">
        <v>1785</v>
      </c>
      <c r="AD116" t="s">
        <v>1786</v>
      </c>
      <c r="AF116" t="s">
        <v>1787</v>
      </c>
      <c r="AH116" t="s">
        <v>1788</v>
      </c>
      <c r="AJ116" t="s">
        <v>830</v>
      </c>
      <c r="AL116" t="s">
        <v>1789</v>
      </c>
      <c r="AN116" t="s">
        <v>830</v>
      </c>
      <c r="AP116" t="s">
        <v>1790</v>
      </c>
      <c r="AQ116" t="s">
        <v>1791</v>
      </c>
    </row>
    <row r="117" spans="2:43">
      <c r="B117" t="s">
        <v>62</v>
      </c>
    </row>
    <row r="118" spans="2:43">
      <c r="B118" t="s">
        <v>62</v>
      </c>
      <c r="R118" t="s">
        <v>1792</v>
      </c>
      <c r="T118" t="s">
        <v>1793</v>
      </c>
      <c r="V118" t="s">
        <v>1794</v>
      </c>
      <c r="X118" t="s">
        <v>1795</v>
      </c>
      <c r="Z118" t="s">
        <v>1796</v>
      </c>
      <c r="AB118" t="s">
        <v>1797</v>
      </c>
      <c r="AD118" t="s">
        <v>1798</v>
      </c>
      <c r="AF118" t="s">
        <v>1799</v>
      </c>
      <c r="AH118" t="s">
        <v>1800</v>
      </c>
      <c r="AJ118" t="s">
        <v>1801</v>
      </c>
      <c r="AL118" t="s">
        <v>1802</v>
      </c>
      <c r="AN118" t="s">
        <v>1803</v>
      </c>
      <c r="AP118" t="s">
        <v>1804</v>
      </c>
      <c r="AQ118" t="s">
        <v>1805</v>
      </c>
    </row>
    <row r="119" spans="2:43">
      <c r="B119" t="s">
        <v>1806</v>
      </c>
    </row>
    <row r="120" spans="2:43">
      <c r="B120" t="s">
        <v>1807</v>
      </c>
      <c r="AQ120" t="s">
        <v>1808</v>
      </c>
    </row>
    <row r="121" spans="2:43">
      <c r="B121" t="s">
        <v>1809</v>
      </c>
    </row>
    <row r="122" spans="2:43">
      <c r="B122" t="s">
        <v>1810</v>
      </c>
      <c r="T122" t="s">
        <v>301</v>
      </c>
      <c r="V122" t="s">
        <v>1811</v>
      </c>
      <c r="X122" t="s">
        <v>1811</v>
      </c>
      <c r="Z122" t="s">
        <v>1811</v>
      </c>
      <c r="AB122" t="s">
        <v>1812</v>
      </c>
      <c r="AD122" t="s">
        <v>1813</v>
      </c>
      <c r="AF122" t="s">
        <v>1814</v>
      </c>
      <c r="AH122" t="s">
        <v>1815</v>
      </c>
      <c r="AJ122" t="s">
        <v>1816</v>
      </c>
      <c r="AL122" t="s">
        <v>1817</v>
      </c>
      <c r="AN122" t="s">
        <v>1818</v>
      </c>
      <c r="AP122" t="s">
        <v>1819</v>
      </c>
    </row>
    <row r="123" spans="2:43">
      <c r="B123" t="s">
        <v>1820</v>
      </c>
      <c r="T123" t="s">
        <v>1821</v>
      </c>
      <c r="V123" t="s">
        <v>1822</v>
      </c>
      <c r="X123" t="s">
        <v>1823</v>
      </c>
      <c r="Z123" t="s">
        <v>1824</v>
      </c>
      <c r="AB123" t="s">
        <v>1825</v>
      </c>
      <c r="AD123" t="s">
        <v>1826</v>
      </c>
      <c r="AF123" t="s">
        <v>1827</v>
      </c>
      <c r="AH123" t="s">
        <v>1828</v>
      </c>
      <c r="AJ123" t="s">
        <v>1829</v>
      </c>
      <c r="AL123" t="s">
        <v>1830</v>
      </c>
      <c r="AN123" t="s">
        <v>1831</v>
      </c>
      <c r="AP123" t="s">
        <v>1832</v>
      </c>
    </row>
    <row r="124" spans="2:43">
      <c r="B124" t="s">
        <v>1833</v>
      </c>
      <c r="T124" t="s">
        <v>1834</v>
      </c>
      <c r="V124" t="s">
        <v>1835</v>
      </c>
      <c r="X124" t="s">
        <v>1836</v>
      </c>
      <c r="Z124" t="s">
        <v>1837</v>
      </c>
      <c r="AB124" t="s">
        <v>1838</v>
      </c>
      <c r="AD124" t="s">
        <v>1839</v>
      </c>
      <c r="AF124" t="s">
        <v>1840</v>
      </c>
      <c r="AH124" t="s">
        <v>1841</v>
      </c>
      <c r="AJ124" t="s">
        <v>1842</v>
      </c>
      <c r="AL124" t="s">
        <v>1843</v>
      </c>
      <c r="AN124" t="s">
        <v>1844</v>
      </c>
      <c r="AP124" t="s">
        <v>1845</v>
      </c>
    </row>
    <row r="125" spans="2:43">
      <c r="B125" t="s">
        <v>1846</v>
      </c>
    </row>
    <row r="126" spans="2:43">
      <c r="B126" t="s">
        <v>1847</v>
      </c>
      <c r="P126" t="s">
        <v>463</v>
      </c>
      <c r="T126" t="s">
        <v>1848</v>
      </c>
      <c r="V126" t="s">
        <v>1849</v>
      </c>
      <c r="X126" t="s">
        <v>1850</v>
      </c>
      <c r="Z126" t="s">
        <v>1851</v>
      </c>
      <c r="AB126" t="s">
        <v>1852</v>
      </c>
      <c r="AD126" t="s">
        <v>1853</v>
      </c>
      <c r="AF126" t="s">
        <v>1854</v>
      </c>
      <c r="AH126" t="s">
        <v>1855</v>
      </c>
      <c r="AJ126" t="s">
        <v>830</v>
      </c>
      <c r="AL126" t="s">
        <v>830</v>
      </c>
      <c r="AN126" t="s">
        <v>830</v>
      </c>
      <c r="AP126" t="s">
        <v>830</v>
      </c>
    </row>
    <row r="127" spans="2:43">
      <c r="B127" t="s">
        <v>1089</v>
      </c>
      <c r="P127" t="s">
        <v>464</v>
      </c>
      <c r="T127" t="s">
        <v>1856</v>
      </c>
      <c r="V127" t="s">
        <v>1857</v>
      </c>
      <c r="X127" t="s">
        <v>1858</v>
      </c>
      <c r="Z127" t="s">
        <v>1859</v>
      </c>
      <c r="AB127" t="s">
        <v>1860</v>
      </c>
      <c r="AD127" t="s">
        <v>1861</v>
      </c>
      <c r="AF127" t="s">
        <v>1862</v>
      </c>
      <c r="AH127" t="s">
        <v>1863</v>
      </c>
      <c r="AJ127" t="s">
        <v>830</v>
      </c>
      <c r="AL127" t="s">
        <v>830</v>
      </c>
      <c r="AN127" t="s">
        <v>830</v>
      </c>
      <c r="AP127" t="s">
        <v>830</v>
      </c>
    </row>
    <row r="128" spans="2:43">
      <c r="B128" t="s">
        <v>1864</v>
      </c>
      <c r="P128" t="s">
        <v>451</v>
      </c>
      <c r="T128" t="s">
        <v>1865</v>
      </c>
      <c r="V128" t="s">
        <v>1866</v>
      </c>
      <c r="X128" t="s">
        <v>1867</v>
      </c>
      <c r="Z128" t="s">
        <v>1868</v>
      </c>
      <c r="AB128" t="s">
        <v>1869</v>
      </c>
      <c r="AD128" t="s">
        <v>1870</v>
      </c>
      <c r="AF128" t="s">
        <v>1871</v>
      </c>
      <c r="AH128" t="s">
        <v>1872</v>
      </c>
      <c r="AJ128" t="s">
        <v>830</v>
      </c>
      <c r="AL128" t="s">
        <v>830</v>
      </c>
      <c r="AN128" t="s">
        <v>830</v>
      </c>
      <c r="AP128" t="s">
        <v>830</v>
      </c>
    </row>
    <row r="129" spans="2:42">
      <c r="B129" t="s">
        <v>1873</v>
      </c>
      <c r="P129" t="s">
        <v>465</v>
      </c>
      <c r="T129" t="s">
        <v>1874</v>
      </c>
      <c r="V129" t="s">
        <v>1875</v>
      </c>
      <c r="X129" t="s">
        <v>1876</v>
      </c>
      <c r="Z129" t="s">
        <v>1877</v>
      </c>
      <c r="AB129" t="s">
        <v>1878</v>
      </c>
      <c r="AD129" t="s">
        <v>1879</v>
      </c>
      <c r="AF129" t="s">
        <v>1880</v>
      </c>
      <c r="AH129" t="s">
        <v>1881</v>
      </c>
      <c r="AJ129" t="s">
        <v>830</v>
      </c>
      <c r="AL129" t="s">
        <v>830</v>
      </c>
      <c r="AN129" t="s">
        <v>830</v>
      </c>
      <c r="AP129" t="s">
        <v>830</v>
      </c>
    </row>
    <row r="130" spans="2:42">
      <c r="B130" t="s">
        <v>1882</v>
      </c>
    </row>
    <row r="131" spans="2:42">
      <c r="B131" t="s">
        <v>1883</v>
      </c>
      <c r="R131" t="s">
        <v>1884</v>
      </c>
      <c r="V131" t="s">
        <v>1885</v>
      </c>
      <c r="X131" t="s">
        <v>1886</v>
      </c>
      <c r="Z131" t="s">
        <v>1887</v>
      </c>
      <c r="AB131" t="s">
        <v>1888</v>
      </c>
      <c r="AD131" t="s">
        <v>1889</v>
      </c>
      <c r="AF131" t="s">
        <v>1890</v>
      </c>
      <c r="AH131" t="s">
        <v>1891</v>
      </c>
      <c r="AN131" t="s">
        <v>1892</v>
      </c>
    </row>
    <row r="132" spans="2:42">
      <c r="B132" t="s">
        <v>31</v>
      </c>
    </row>
    <row r="133" spans="2:42">
      <c r="B133" t="s">
        <v>31</v>
      </c>
      <c r="T133" t="s">
        <v>461</v>
      </c>
      <c r="AD133" t="s">
        <v>466</v>
      </c>
      <c r="AF133" t="s">
        <v>466</v>
      </c>
    </row>
    <row r="134" spans="2:42">
      <c r="B134" t="s">
        <v>31</v>
      </c>
      <c r="P134" t="s">
        <v>463</v>
      </c>
      <c r="T134" t="s">
        <v>1893</v>
      </c>
      <c r="AD134" t="s">
        <v>1894</v>
      </c>
      <c r="AF134" t="s">
        <v>1895</v>
      </c>
    </row>
    <row r="135" spans="2:42">
      <c r="B135" t="s">
        <v>31</v>
      </c>
      <c r="P135" t="s">
        <v>464</v>
      </c>
      <c r="T135" t="s">
        <v>1896</v>
      </c>
      <c r="AD135" t="s">
        <v>1897</v>
      </c>
      <c r="AF135" t="s">
        <v>1898</v>
      </c>
    </row>
    <row r="136" spans="2:42">
      <c r="B136" t="s">
        <v>31</v>
      </c>
      <c r="P136" t="s">
        <v>451</v>
      </c>
      <c r="T136" t="s">
        <v>1899</v>
      </c>
      <c r="AD136" t="s">
        <v>1900</v>
      </c>
      <c r="AF136" t="s">
        <v>1901</v>
      </c>
    </row>
    <row r="137" spans="2:42">
      <c r="B137" t="s">
        <v>31</v>
      </c>
      <c r="AD137" t="s">
        <v>1902</v>
      </c>
      <c r="AF137" t="s">
        <v>1903</v>
      </c>
    </row>
    <row r="138" spans="2:42">
      <c r="B138" t="s">
        <v>1099</v>
      </c>
    </row>
    <row r="139" spans="2:42">
      <c r="B139" t="s">
        <v>1100</v>
      </c>
    </row>
    <row r="140" spans="2:42">
      <c r="B140" t="s">
        <v>1101</v>
      </c>
      <c r="P140" t="s">
        <v>1277</v>
      </c>
      <c r="R140" t="s">
        <v>467</v>
      </c>
      <c r="X140" t="s">
        <v>1904</v>
      </c>
      <c r="Z140" t="s">
        <v>1905</v>
      </c>
      <c r="AB140" t="s">
        <v>1906</v>
      </c>
    </row>
    <row r="141" spans="2:42">
      <c r="B141" t="s">
        <v>1102</v>
      </c>
      <c r="P141" t="s">
        <v>1907</v>
      </c>
      <c r="R141" t="s">
        <v>468</v>
      </c>
      <c r="V141" t="s">
        <v>1908</v>
      </c>
      <c r="X141" t="s">
        <v>1909</v>
      </c>
      <c r="Z141" t="s">
        <v>1910</v>
      </c>
      <c r="AB141" t="s">
        <v>1911</v>
      </c>
    </row>
    <row r="142" spans="2:42">
      <c r="B142" t="s">
        <v>1105</v>
      </c>
      <c r="P142" t="s">
        <v>556</v>
      </c>
      <c r="R142" t="s">
        <v>469</v>
      </c>
      <c r="V142" t="s">
        <v>1908</v>
      </c>
      <c r="X142" t="s">
        <v>1912</v>
      </c>
      <c r="Z142" t="s">
        <v>1913</v>
      </c>
      <c r="AB142" t="s">
        <v>1914</v>
      </c>
    </row>
    <row r="143" spans="2:42">
      <c r="B143" t="s">
        <v>1106</v>
      </c>
      <c r="P143" t="s">
        <v>1915</v>
      </c>
      <c r="R143" t="s">
        <v>439</v>
      </c>
      <c r="V143" t="s">
        <v>470</v>
      </c>
      <c r="X143" t="s">
        <v>1916</v>
      </c>
      <c r="Z143" t="s">
        <v>1917</v>
      </c>
      <c r="AB143" t="s">
        <v>1918</v>
      </c>
    </row>
    <row r="144" spans="2:42">
      <c r="B144" t="s">
        <v>1109</v>
      </c>
      <c r="P144" t="s">
        <v>1919</v>
      </c>
      <c r="R144" t="s">
        <v>439</v>
      </c>
      <c r="V144" t="s">
        <v>470</v>
      </c>
      <c r="X144" t="s">
        <v>1920</v>
      </c>
      <c r="Z144" t="s">
        <v>1921</v>
      </c>
      <c r="AB144" t="s">
        <v>1922</v>
      </c>
    </row>
    <row r="145" spans="2:28">
      <c r="B145" t="s">
        <v>1115</v>
      </c>
      <c r="P145" t="s">
        <v>1923</v>
      </c>
      <c r="R145" t="s">
        <v>439</v>
      </c>
      <c r="V145" t="s">
        <v>470</v>
      </c>
      <c r="X145" t="s">
        <v>1924</v>
      </c>
      <c r="Z145" t="s">
        <v>1925</v>
      </c>
      <c r="AB145" t="s">
        <v>1926</v>
      </c>
    </row>
    <row r="146" spans="2:28">
      <c r="B146" t="s">
        <v>1118</v>
      </c>
      <c r="P146" t="s">
        <v>1927</v>
      </c>
      <c r="R146" t="s">
        <v>439</v>
      </c>
      <c r="V146" t="s">
        <v>470</v>
      </c>
      <c r="X146" t="s">
        <v>1928</v>
      </c>
      <c r="Z146" t="s">
        <v>1929</v>
      </c>
      <c r="AB146" t="s">
        <v>1930</v>
      </c>
    </row>
    <row r="147" spans="2:28">
      <c r="B147" t="s">
        <v>1121</v>
      </c>
      <c r="R147" t="s">
        <v>471</v>
      </c>
      <c r="Z147" t="s">
        <v>1931</v>
      </c>
      <c r="AB147" t="s">
        <v>1932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D201"/>
  <sheetViews>
    <sheetView workbookViewId="0"/>
  </sheetViews>
  <sheetFormatPr defaultRowHeight="12.75"/>
  <sheetData>
    <row r="1" spans="1:30">
      <c r="A1" t="s">
        <v>1933</v>
      </c>
      <c r="B1" t="s">
        <v>53</v>
      </c>
      <c r="C1" t="s">
        <v>31</v>
      </c>
      <c r="D1" t="s">
        <v>31</v>
      </c>
      <c r="E1" t="s">
        <v>31</v>
      </c>
      <c r="F1" t="s">
        <v>31</v>
      </c>
      <c r="G1" t="s">
        <v>796</v>
      </c>
      <c r="H1" t="s">
        <v>797</v>
      </c>
      <c r="I1" t="s">
        <v>597</v>
      </c>
      <c r="J1" t="s">
        <v>598</v>
      </c>
      <c r="K1" t="s">
        <v>31</v>
      </c>
      <c r="L1" t="s">
        <v>31</v>
      </c>
      <c r="M1" t="s">
        <v>31</v>
      </c>
      <c r="P1" t="s">
        <v>599</v>
      </c>
      <c r="Q1" t="s">
        <v>76</v>
      </c>
      <c r="R1" t="s">
        <v>76</v>
      </c>
      <c r="S1" t="s">
        <v>599</v>
      </c>
      <c r="T1" t="s">
        <v>76</v>
      </c>
      <c r="U1" t="s">
        <v>76</v>
      </c>
      <c r="V1" t="s">
        <v>599</v>
      </c>
      <c r="W1" t="s">
        <v>76</v>
      </c>
      <c r="X1" t="s">
        <v>76</v>
      </c>
      <c r="Y1" t="s">
        <v>599</v>
      </c>
      <c r="Z1" t="s">
        <v>76</v>
      </c>
      <c r="AA1" t="s">
        <v>76</v>
      </c>
      <c r="AD1" t="s">
        <v>31</v>
      </c>
    </row>
    <row r="2" spans="1:30">
      <c r="A2" t="s">
        <v>53</v>
      </c>
      <c r="B2" t="s">
        <v>1934</v>
      </c>
      <c r="D2" t="s">
        <v>55</v>
      </c>
      <c r="F2" t="s">
        <v>600</v>
      </c>
      <c r="I2" t="s">
        <v>601</v>
      </c>
      <c r="N2" t="s">
        <v>1935</v>
      </c>
      <c r="O2" t="s">
        <v>1936</v>
      </c>
      <c r="Q2" t="s">
        <v>1937</v>
      </c>
      <c r="R2" t="s">
        <v>1938</v>
      </c>
      <c r="T2" t="s">
        <v>1939</v>
      </c>
      <c r="U2" t="s">
        <v>1940</v>
      </c>
      <c r="W2" t="s">
        <v>1941</v>
      </c>
      <c r="X2" t="s">
        <v>1942</v>
      </c>
      <c r="Z2" t="s">
        <v>1943</v>
      </c>
      <c r="AA2" t="s">
        <v>1944</v>
      </c>
      <c r="AB2" t="s">
        <v>31</v>
      </c>
      <c r="AC2" t="s">
        <v>1945</v>
      </c>
    </row>
    <row r="3" spans="1:30">
      <c r="A3" t="s">
        <v>31</v>
      </c>
      <c r="B3" t="s">
        <v>602</v>
      </c>
      <c r="C3" t="s">
        <v>802</v>
      </c>
      <c r="D3" t="s">
        <v>803</v>
      </c>
      <c r="E3" t="s">
        <v>604</v>
      </c>
      <c r="F3" t="s">
        <v>804</v>
      </c>
      <c r="I3" t="s">
        <v>805</v>
      </c>
    </row>
    <row r="4" spans="1:30">
      <c r="A4" t="s">
        <v>31</v>
      </c>
      <c r="B4" t="s">
        <v>605</v>
      </c>
      <c r="C4" t="s">
        <v>806</v>
      </c>
      <c r="D4" t="s">
        <v>807</v>
      </c>
      <c r="E4" t="s">
        <v>606</v>
      </c>
      <c r="F4" t="s">
        <v>92</v>
      </c>
      <c r="I4" t="s">
        <v>607</v>
      </c>
    </row>
    <row r="5" spans="1:30">
      <c r="A5" t="s">
        <v>31</v>
      </c>
      <c r="B5" t="s">
        <v>608</v>
      </c>
      <c r="C5" t="s">
        <v>808</v>
      </c>
      <c r="D5" t="s">
        <v>59</v>
      </c>
      <c r="E5" t="s">
        <v>609</v>
      </c>
      <c r="F5" t="s">
        <v>809</v>
      </c>
      <c r="I5" t="s">
        <v>275</v>
      </c>
    </row>
    <row r="6" spans="1:30">
      <c r="A6" t="s">
        <v>31</v>
      </c>
      <c r="C6" t="s">
        <v>810</v>
      </c>
      <c r="D6" t="s">
        <v>811</v>
      </c>
      <c r="E6" t="s">
        <v>812</v>
      </c>
      <c r="F6" t="s">
        <v>274</v>
      </c>
      <c r="I6" t="s">
        <v>263</v>
      </c>
    </row>
    <row r="7" spans="1:30">
      <c r="A7" t="s">
        <v>31</v>
      </c>
      <c r="C7" t="s">
        <v>813</v>
      </c>
      <c r="D7" t="s">
        <v>814</v>
      </c>
      <c r="E7" t="s">
        <v>1946</v>
      </c>
      <c r="I7" t="s">
        <v>610</v>
      </c>
    </row>
    <row r="8" spans="1:30">
      <c r="A8" t="s">
        <v>31</v>
      </c>
      <c r="C8" t="s">
        <v>816</v>
      </c>
      <c r="D8" t="s">
        <v>817</v>
      </c>
      <c r="E8" t="s">
        <v>818</v>
      </c>
      <c r="I8" t="s">
        <v>65</v>
      </c>
    </row>
    <row r="9" spans="1:30">
      <c r="A9" t="s">
        <v>31</v>
      </c>
      <c r="C9" t="s">
        <v>819</v>
      </c>
      <c r="D9" t="s">
        <v>820</v>
      </c>
      <c r="E9" t="s">
        <v>1947</v>
      </c>
      <c r="I9" t="s">
        <v>611</v>
      </c>
      <c r="N9" t="s">
        <v>1948</v>
      </c>
      <c r="Q9" t="s">
        <v>1949</v>
      </c>
      <c r="T9" t="s">
        <v>1950</v>
      </c>
      <c r="W9" t="s">
        <v>1951</v>
      </c>
      <c r="Z9" t="s">
        <v>1952</v>
      </c>
      <c r="AC9" t="s">
        <v>1953</v>
      </c>
    </row>
    <row r="10" spans="1:30">
      <c r="A10" t="s">
        <v>31</v>
      </c>
      <c r="C10" t="s">
        <v>612</v>
      </c>
      <c r="E10" t="s">
        <v>1954</v>
      </c>
      <c r="I10" t="s">
        <v>613</v>
      </c>
      <c r="N10" t="s">
        <v>825</v>
      </c>
      <c r="Q10" t="s">
        <v>1955</v>
      </c>
      <c r="T10" t="s">
        <v>1956</v>
      </c>
      <c r="W10" t="s">
        <v>1957</v>
      </c>
      <c r="Z10" t="s">
        <v>1958</v>
      </c>
    </row>
    <row r="11" spans="1:30">
      <c r="A11" t="s">
        <v>31</v>
      </c>
      <c r="B11" t="s">
        <v>614</v>
      </c>
      <c r="C11" t="s">
        <v>826</v>
      </c>
      <c r="N11" t="s">
        <v>1959</v>
      </c>
      <c r="Q11" t="s">
        <v>1960</v>
      </c>
      <c r="T11" t="s">
        <v>1961</v>
      </c>
      <c r="W11" t="s">
        <v>1962</v>
      </c>
      <c r="Z11" t="s">
        <v>1963</v>
      </c>
    </row>
    <row r="12" spans="1:30">
      <c r="A12" t="s">
        <v>493</v>
      </c>
      <c r="C12" t="s">
        <v>828</v>
      </c>
      <c r="E12" t="s">
        <v>1964</v>
      </c>
    </row>
    <row r="13" spans="1:30">
      <c r="A13" t="s">
        <v>493</v>
      </c>
      <c r="C13" t="s">
        <v>830</v>
      </c>
    </row>
    <row r="14" spans="1:30">
      <c r="A14" t="s">
        <v>493</v>
      </c>
    </row>
    <row r="15" spans="1:30">
      <c r="A15" t="s">
        <v>63</v>
      </c>
      <c r="G15" t="s">
        <v>615</v>
      </c>
      <c r="I15" t="s">
        <v>300</v>
      </c>
      <c r="M15" t="s">
        <v>831</v>
      </c>
      <c r="N15" t="s">
        <v>832</v>
      </c>
      <c r="P15" t="s">
        <v>1965</v>
      </c>
      <c r="Q15" t="s">
        <v>1966</v>
      </c>
      <c r="S15" t="s">
        <v>1967</v>
      </c>
      <c r="T15" t="s">
        <v>1968</v>
      </c>
      <c r="V15" t="s">
        <v>1969</v>
      </c>
      <c r="W15" t="s">
        <v>1970</v>
      </c>
      <c r="Y15" t="s">
        <v>1971</v>
      </c>
      <c r="Z15" t="s">
        <v>1972</v>
      </c>
      <c r="AC15" t="s">
        <v>289</v>
      </c>
    </row>
    <row r="16" spans="1:30">
      <c r="M16" t="s">
        <v>833</v>
      </c>
      <c r="P16" t="s">
        <v>1973</v>
      </c>
      <c r="S16" t="s">
        <v>1974</v>
      </c>
      <c r="V16" t="s">
        <v>1975</v>
      </c>
      <c r="Y16" t="s">
        <v>1976</v>
      </c>
    </row>
    <row r="17" spans="1:30">
      <c r="B17" t="s">
        <v>493</v>
      </c>
      <c r="D17" t="s">
        <v>71</v>
      </c>
    </row>
    <row r="18" spans="1:30">
      <c r="B18" t="s">
        <v>1977</v>
      </c>
      <c r="C18" t="s">
        <v>619</v>
      </c>
      <c r="I18" t="s">
        <v>1978</v>
      </c>
    </row>
    <row r="19" spans="1:30">
      <c r="B19" t="s">
        <v>836</v>
      </c>
    </row>
    <row r="20" spans="1:30">
      <c r="B20" t="s">
        <v>836</v>
      </c>
      <c r="I20" t="s">
        <v>620</v>
      </c>
    </row>
    <row r="21" spans="1:30">
      <c r="B21" t="s">
        <v>62</v>
      </c>
      <c r="D21" t="s">
        <v>621</v>
      </c>
      <c r="G21" t="s">
        <v>622</v>
      </c>
      <c r="I21" t="s">
        <v>837</v>
      </c>
      <c r="N21" t="s">
        <v>838</v>
      </c>
      <c r="Q21" t="s">
        <v>1979</v>
      </c>
      <c r="T21" t="s">
        <v>1980</v>
      </c>
      <c r="W21" t="s">
        <v>1981</v>
      </c>
      <c r="Z21" t="s">
        <v>1982</v>
      </c>
      <c r="AC21" t="s">
        <v>1983</v>
      </c>
      <c r="AD21" t="s">
        <v>1984</v>
      </c>
    </row>
    <row r="22" spans="1:30">
      <c r="B22" t="s">
        <v>1985</v>
      </c>
      <c r="G22" t="s">
        <v>842</v>
      </c>
      <c r="I22" t="s">
        <v>843</v>
      </c>
      <c r="N22" t="s">
        <v>844</v>
      </c>
      <c r="Q22" t="s">
        <v>1986</v>
      </c>
      <c r="T22" t="s">
        <v>1987</v>
      </c>
      <c r="W22" t="s">
        <v>1988</v>
      </c>
      <c r="Z22" t="s">
        <v>1989</v>
      </c>
      <c r="AC22" t="s">
        <v>1990</v>
      </c>
      <c r="AD22" t="s">
        <v>1991</v>
      </c>
    </row>
    <row r="23" spans="1:30">
      <c r="A23" t="s">
        <v>76</v>
      </c>
      <c r="B23" t="s">
        <v>1992</v>
      </c>
      <c r="G23" t="s">
        <v>1993</v>
      </c>
      <c r="I23" t="s">
        <v>1994</v>
      </c>
      <c r="N23" t="s">
        <v>1995</v>
      </c>
      <c r="Q23" t="s">
        <v>1996</v>
      </c>
      <c r="T23" t="s">
        <v>1997</v>
      </c>
      <c r="W23" t="s">
        <v>1998</v>
      </c>
      <c r="Z23" t="s">
        <v>1999</v>
      </c>
      <c r="AC23" t="s">
        <v>2000</v>
      </c>
      <c r="AD23" t="s">
        <v>2001</v>
      </c>
    </row>
    <row r="24" spans="1:30">
      <c r="A24" t="s">
        <v>76</v>
      </c>
      <c r="B24" t="s">
        <v>2002</v>
      </c>
      <c r="G24" t="s">
        <v>2003</v>
      </c>
      <c r="I24" t="s">
        <v>848</v>
      </c>
      <c r="N24" t="s">
        <v>2004</v>
      </c>
      <c r="Q24" t="s">
        <v>2005</v>
      </c>
      <c r="T24" t="s">
        <v>2006</v>
      </c>
      <c r="W24" t="s">
        <v>2007</v>
      </c>
      <c r="Z24" t="s">
        <v>2008</v>
      </c>
      <c r="AC24" t="s">
        <v>2009</v>
      </c>
      <c r="AD24" t="s">
        <v>2010</v>
      </c>
    </row>
    <row r="25" spans="1:30">
      <c r="A25" t="s">
        <v>76</v>
      </c>
      <c r="B25" t="s">
        <v>2011</v>
      </c>
      <c r="G25" t="s">
        <v>2012</v>
      </c>
      <c r="I25" t="s">
        <v>2013</v>
      </c>
      <c r="N25" t="s">
        <v>2014</v>
      </c>
      <c r="Q25" t="s">
        <v>2015</v>
      </c>
      <c r="T25" t="s">
        <v>2016</v>
      </c>
      <c r="W25" t="s">
        <v>2017</v>
      </c>
      <c r="Z25" t="s">
        <v>2018</v>
      </c>
      <c r="AC25" t="s">
        <v>2019</v>
      </c>
      <c r="AD25" t="s">
        <v>2020</v>
      </c>
    </row>
    <row r="26" spans="1:30">
      <c r="A26" t="s">
        <v>76</v>
      </c>
      <c r="B26" t="s">
        <v>2021</v>
      </c>
      <c r="G26" t="s">
        <v>2022</v>
      </c>
      <c r="I26" t="s">
        <v>2023</v>
      </c>
      <c r="N26" t="s">
        <v>2024</v>
      </c>
      <c r="Q26" t="s">
        <v>2025</v>
      </c>
      <c r="T26" t="s">
        <v>2026</v>
      </c>
      <c r="W26" t="s">
        <v>2027</v>
      </c>
      <c r="Z26" t="s">
        <v>2028</v>
      </c>
      <c r="AC26" t="s">
        <v>2029</v>
      </c>
      <c r="AD26" t="s">
        <v>2030</v>
      </c>
    </row>
    <row r="27" spans="1:30">
      <c r="A27" t="s">
        <v>76</v>
      </c>
      <c r="B27" t="s">
        <v>2031</v>
      </c>
      <c r="G27" t="s">
        <v>2032</v>
      </c>
      <c r="I27" t="s">
        <v>2033</v>
      </c>
      <c r="N27" t="s">
        <v>2034</v>
      </c>
      <c r="Q27" t="s">
        <v>2035</v>
      </c>
      <c r="T27" t="s">
        <v>2036</v>
      </c>
      <c r="W27" t="s">
        <v>2037</v>
      </c>
      <c r="Z27" t="s">
        <v>2038</v>
      </c>
      <c r="AC27" t="s">
        <v>2039</v>
      </c>
      <c r="AD27" t="s">
        <v>2040</v>
      </c>
    </row>
    <row r="28" spans="1:30">
      <c r="A28" t="s">
        <v>76</v>
      </c>
      <c r="B28" t="s">
        <v>2041</v>
      </c>
      <c r="G28" t="s">
        <v>2042</v>
      </c>
      <c r="I28" t="s">
        <v>2043</v>
      </c>
      <c r="N28" t="s">
        <v>2044</v>
      </c>
      <c r="Q28" t="s">
        <v>2045</v>
      </c>
      <c r="T28" t="s">
        <v>2046</v>
      </c>
      <c r="W28" t="s">
        <v>2047</v>
      </c>
      <c r="Z28" t="s">
        <v>2048</v>
      </c>
      <c r="AC28" t="s">
        <v>2049</v>
      </c>
      <c r="AD28" t="s">
        <v>2050</v>
      </c>
    </row>
    <row r="29" spans="1:30">
      <c r="A29" t="s">
        <v>76</v>
      </c>
      <c r="B29" t="s">
        <v>2051</v>
      </c>
      <c r="G29" t="s">
        <v>2052</v>
      </c>
      <c r="I29" t="s">
        <v>2053</v>
      </c>
      <c r="N29" t="s">
        <v>2054</v>
      </c>
      <c r="Q29" t="s">
        <v>2055</v>
      </c>
      <c r="T29" t="s">
        <v>2056</v>
      </c>
      <c r="W29" t="s">
        <v>2057</v>
      </c>
      <c r="Z29" t="s">
        <v>2058</v>
      </c>
      <c r="AC29" t="s">
        <v>2059</v>
      </c>
      <c r="AD29" t="s">
        <v>2060</v>
      </c>
    </row>
    <row r="30" spans="1:30">
      <c r="A30" t="s">
        <v>76</v>
      </c>
      <c r="B30" t="s">
        <v>2061</v>
      </c>
      <c r="G30" t="s">
        <v>2062</v>
      </c>
      <c r="I30" t="s">
        <v>2063</v>
      </c>
      <c r="N30" t="s">
        <v>2064</v>
      </c>
      <c r="Q30" t="s">
        <v>2065</v>
      </c>
      <c r="T30" t="s">
        <v>2066</v>
      </c>
      <c r="W30" t="s">
        <v>2067</v>
      </c>
      <c r="Z30" t="s">
        <v>2068</v>
      </c>
      <c r="AC30" t="s">
        <v>2069</v>
      </c>
      <c r="AD30" t="s">
        <v>2070</v>
      </c>
    </row>
    <row r="31" spans="1:30">
      <c r="A31" t="s">
        <v>76</v>
      </c>
      <c r="B31" t="s">
        <v>2071</v>
      </c>
      <c r="G31" t="s">
        <v>2072</v>
      </c>
      <c r="I31" t="s">
        <v>2073</v>
      </c>
      <c r="N31" t="s">
        <v>2074</v>
      </c>
      <c r="Q31" t="s">
        <v>2075</v>
      </c>
      <c r="T31" t="s">
        <v>2076</v>
      </c>
      <c r="W31" t="s">
        <v>2077</v>
      </c>
      <c r="Z31" t="s">
        <v>2078</v>
      </c>
      <c r="AC31" t="s">
        <v>2079</v>
      </c>
      <c r="AD31" t="s">
        <v>2080</v>
      </c>
    </row>
    <row r="32" spans="1:30">
      <c r="B32" t="s">
        <v>31</v>
      </c>
      <c r="C32" t="s">
        <v>635</v>
      </c>
      <c r="D32" t="s">
        <v>636</v>
      </c>
    </row>
    <row r="33" spans="1:30">
      <c r="B33" t="s">
        <v>31</v>
      </c>
      <c r="G33" t="s">
        <v>2081</v>
      </c>
      <c r="I33" t="s">
        <v>2082</v>
      </c>
      <c r="N33" t="s">
        <v>2083</v>
      </c>
      <c r="Q33" t="s">
        <v>2084</v>
      </c>
      <c r="T33" t="s">
        <v>2085</v>
      </c>
      <c r="W33" t="s">
        <v>2086</v>
      </c>
      <c r="Z33" t="s">
        <v>2087</v>
      </c>
      <c r="AC33" t="s">
        <v>2088</v>
      </c>
      <c r="AD33" t="s">
        <v>2089</v>
      </c>
    </row>
    <row r="34" spans="1:30">
      <c r="A34" t="s">
        <v>76</v>
      </c>
      <c r="B34" t="s">
        <v>31</v>
      </c>
      <c r="G34" t="s">
        <v>2090</v>
      </c>
      <c r="I34" t="s">
        <v>2091</v>
      </c>
      <c r="N34" t="s">
        <v>2092</v>
      </c>
      <c r="Q34" t="s">
        <v>2093</v>
      </c>
      <c r="T34" t="s">
        <v>2094</v>
      </c>
      <c r="W34" t="s">
        <v>2095</v>
      </c>
      <c r="Z34" t="s">
        <v>2096</v>
      </c>
      <c r="AC34" t="s">
        <v>2097</v>
      </c>
      <c r="AD34" t="s">
        <v>2098</v>
      </c>
    </row>
    <row r="35" spans="1:30">
      <c r="A35" t="s">
        <v>76</v>
      </c>
      <c r="B35" t="s">
        <v>31</v>
      </c>
      <c r="G35" t="s">
        <v>2099</v>
      </c>
      <c r="I35" t="s">
        <v>882</v>
      </c>
      <c r="N35" t="s">
        <v>883</v>
      </c>
      <c r="Q35" t="s">
        <v>2100</v>
      </c>
      <c r="T35" t="s">
        <v>2101</v>
      </c>
      <c r="W35" t="s">
        <v>2102</v>
      </c>
      <c r="Z35" t="s">
        <v>2103</v>
      </c>
      <c r="AC35" t="s">
        <v>2104</v>
      </c>
      <c r="AD35" t="s">
        <v>2105</v>
      </c>
    </row>
    <row r="36" spans="1:30">
      <c r="A36" t="s">
        <v>76</v>
      </c>
      <c r="B36" t="s">
        <v>31</v>
      </c>
      <c r="G36" t="s">
        <v>2106</v>
      </c>
      <c r="I36" t="s">
        <v>2107</v>
      </c>
      <c r="N36" t="s">
        <v>2108</v>
      </c>
      <c r="Q36" t="s">
        <v>2109</v>
      </c>
      <c r="T36" t="s">
        <v>2110</v>
      </c>
      <c r="W36" t="s">
        <v>2111</v>
      </c>
      <c r="Z36" t="s">
        <v>2112</v>
      </c>
      <c r="AC36" t="s">
        <v>2113</v>
      </c>
      <c r="AD36" t="s">
        <v>2114</v>
      </c>
    </row>
    <row r="37" spans="1:30">
      <c r="A37" t="s">
        <v>76</v>
      </c>
      <c r="B37" t="s">
        <v>31</v>
      </c>
      <c r="G37" t="s">
        <v>2115</v>
      </c>
      <c r="I37" t="s">
        <v>2116</v>
      </c>
      <c r="N37" t="s">
        <v>2117</v>
      </c>
      <c r="Q37" t="s">
        <v>2118</v>
      </c>
      <c r="T37" t="s">
        <v>2119</v>
      </c>
      <c r="W37" t="s">
        <v>2120</v>
      </c>
      <c r="Z37" t="s">
        <v>2121</v>
      </c>
      <c r="AC37" t="s">
        <v>2122</v>
      </c>
      <c r="AD37" t="s">
        <v>2123</v>
      </c>
    </row>
    <row r="38" spans="1:30">
      <c r="A38" t="s">
        <v>76</v>
      </c>
      <c r="B38" t="s">
        <v>31</v>
      </c>
      <c r="G38" t="s">
        <v>2124</v>
      </c>
      <c r="I38" t="s">
        <v>2125</v>
      </c>
      <c r="N38" t="s">
        <v>2126</v>
      </c>
      <c r="Q38" t="s">
        <v>2127</v>
      </c>
      <c r="T38" t="s">
        <v>2128</v>
      </c>
      <c r="W38" t="s">
        <v>2129</v>
      </c>
      <c r="Z38" t="s">
        <v>2130</v>
      </c>
      <c r="AC38" t="s">
        <v>2131</v>
      </c>
      <c r="AD38" t="s">
        <v>2132</v>
      </c>
    </row>
    <row r="39" spans="1:30">
      <c r="A39" t="s">
        <v>76</v>
      </c>
      <c r="B39" t="s">
        <v>31</v>
      </c>
      <c r="G39" t="s">
        <v>2133</v>
      </c>
      <c r="I39" t="s">
        <v>2134</v>
      </c>
      <c r="N39" t="s">
        <v>2135</v>
      </c>
      <c r="Q39" t="s">
        <v>2136</v>
      </c>
      <c r="T39" t="s">
        <v>2137</v>
      </c>
      <c r="W39" t="s">
        <v>2138</v>
      </c>
      <c r="Z39" t="s">
        <v>2139</v>
      </c>
      <c r="AC39" t="s">
        <v>2140</v>
      </c>
      <c r="AD39" t="s">
        <v>2141</v>
      </c>
    </row>
    <row r="40" spans="1:30">
      <c r="A40" t="s">
        <v>76</v>
      </c>
      <c r="B40" t="s">
        <v>31</v>
      </c>
      <c r="G40" t="s">
        <v>2142</v>
      </c>
      <c r="I40" t="s">
        <v>2143</v>
      </c>
      <c r="N40" t="s">
        <v>2144</v>
      </c>
      <c r="Q40" t="s">
        <v>2145</v>
      </c>
      <c r="T40" t="s">
        <v>2146</v>
      </c>
      <c r="W40" t="s">
        <v>2147</v>
      </c>
      <c r="Z40" t="s">
        <v>2148</v>
      </c>
      <c r="AC40" t="s">
        <v>2149</v>
      </c>
      <c r="AD40" t="s">
        <v>2150</v>
      </c>
    </row>
    <row r="41" spans="1:30">
      <c r="A41" t="s">
        <v>76</v>
      </c>
      <c r="B41" t="s">
        <v>31</v>
      </c>
      <c r="G41" t="s">
        <v>2151</v>
      </c>
      <c r="I41" t="s">
        <v>2152</v>
      </c>
      <c r="N41" t="s">
        <v>893</v>
      </c>
      <c r="Q41" t="s">
        <v>2153</v>
      </c>
      <c r="T41" t="s">
        <v>2154</v>
      </c>
      <c r="W41" t="s">
        <v>2155</v>
      </c>
      <c r="Z41" t="s">
        <v>2156</v>
      </c>
      <c r="AC41" t="s">
        <v>2157</v>
      </c>
      <c r="AD41" t="s">
        <v>2158</v>
      </c>
    </row>
    <row r="42" spans="1:30">
      <c r="A42" t="s">
        <v>76</v>
      </c>
      <c r="B42" t="s">
        <v>31</v>
      </c>
      <c r="G42" t="s">
        <v>2159</v>
      </c>
      <c r="I42" t="s">
        <v>2160</v>
      </c>
      <c r="N42" t="s">
        <v>2161</v>
      </c>
      <c r="Q42" t="s">
        <v>2162</v>
      </c>
      <c r="T42" t="s">
        <v>2163</v>
      </c>
      <c r="W42" t="s">
        <v>2164</v>
      </c>
      <c r="Z42" t="s">
        <v>2165</v>
      </c>
      <c r="AC42" t="s">
        <v>2166</v>
      </c>
      <c r="AD42" t="s">
        <v>2167</v>
      </c>
    </row>
    <row r="43" spans="1:30">
      <c r="B43" t="s">
        <v>31</v>
      </c>
    </row>
    <row r="44" spans="1:30">
      <c r="B44" t="s">
        <v>31</v>
      </c>
      <c r="G44" t="s">
        <v>637</v>
      </c>
      <c r="I44" t="s">
        <v>638</v>
      </c>
      <c r="N44" t="s">
        <v>2168</v>
      </c>
      <c r="Q44" t="s">
        <v>2169</v>
      </c>
      <c r="T44" t="s">
        <v>2170</v>
      </c>
      <c r="W44" t="s">
        <v>2171</v>
      </c>
      <c r="Z44" t="s">
        <v>2172</v>
      </c>
      <c r="AB44" t="s">
        <v>2173</v>
      </c>
      <c r="AC44" t="s">
        <v>2174</v>
      </c>
      <c r="AD44" t="s">
        <v>2175</v>
      </c>
    </row>
    <row r="45" spans="1:30">
      <c r="B45" t="s">
        <v>2176</v>
      </c>
      <c r="G45" t="s">
        <v>637</v>
      </c>
      <c r="I45" t="s">
        <v>638</v>
      </c>
      <c r="N45" t="s">
        <v>2177</v>
      </c>
      <c r="Q45" t="s">
        <v>2178</v>
      </c>
      <c r="T45" t="s">
        <v>2179</v>
      </c>
      <c r="W45" t="s">
        <v>2180</v>
      </c>
      <c r="Z45" t="s">
        <v>2181</v>
      </c>
      <c r="AC45" t="s">
        <v>2182</v>
      </c>
      <c r="AD45" t="s">
        <v>2183</v>
      </c>
    </row>
    <row r="46" spans="1:30">
      <c r="B46" t="s">
        <v>2184</v>
      </c>
      <c r="C46" t="s">
        <v>648</v>
      </c>
      <c r="D46" t="s">
        <v>649</v>
      </c>
      <c r="G46" t="s">
        <v>649</v>
      </c>
      <c r="I46" t="s">
        <v>650</v>
      </c>
    </row>
    <row r="47" spans="1:30">
      <c r="B47" t="s">
        <v>2185</v>
      </c>
      <c r="G47" t="s">
        <v>2186</v>
      </c>
      <c r="I47" t="s">
        <v>2187</v>
      </c>
      <c r="N47" t="s">
        <v>2188</v>
      </c>
      <c r="Q47" t="s">
        <v>2189</v>
      </c>
      <c r="T47" t="s">
        <v>2190</v>
      </c>
      <c r="W47" t="s">
        <v>2191</v>
      </c>
      <c r="Z47" t="s">
        <v>2192</v>
      </c>
      <c r="AC47" t="s">
        <v>2193</v>
      </c>
      <c r="AD47" t="s">
        <v>2194</v>
      </c>
    </row>
    <row r="48" spans="1:30">
      <c r="B48" t="s">
        <v>2195</v>
      </c>
      <c r="C48" t="s">
        <v>651</v>
      </c>
      <c r="D48" t="s">
        <v>652</v>
      </c>
      <c r="F48" t="s">
        <v>653</v>
      </c>
      <c r="G48" t="s">
        <v>652</v>
      </c>
      <c r="I48" t="s">
        <v>654</v>
      </c>
    </row>
    <row r="49" spans="1:30">
      <c r="B49" t="s">
        <v>2196</v>
      </c>
      <c r="G49" t="s">
        <v>2197</v>
      </c>
      <c r="I49" t="s">
        <v>2198</v>
      </c>
      <c r="N49" t="s">
        <v>2199</v>
      </c>
      <c r="Q49" t="s">
        <v>2200</v>
      </c>
      <c r="T49" t="s">
        <v>2201</v>
      </c>
      <c r="W49" t="s">
        <v>2202</v>
      </c>
      <c r="Z49" t="s">
        <v>2203</v>
      </c>
      <c r="AC49" t="s">
        <v>2204</v>
      </c>
      <c r="AD49" t="s">
        <v>2205</v>
      </c>
    </row>
    <row r="50" spans="1:30">
      <c r="A50" t="s">
        <v>76</v>
      </c>
      <c r="B50" t="s">
        <v>2206</v>
      </c>
      <c r="G50" t="s">
        <v>2207</v>
      </c>
      <c r="I50" t="s">
        <v>2208</v>
      </c>
      <c r="N50" t="s">
        <v>2209</v>
      </c>
      <c r="Q50" t="s">
        <v>2210</v>
      </c>
      <c r="T50" t="s">
        <v>2211</v>
      </c>
      <c r="W50" t="s">
        <v>2212</v>
      </c>
      <c r="Z50" t="s">
        <v>2213</v>
      </c>
      <c r="AC50" t="s">
        <v>2214</v>
      </c>
      <c r="AD50" t="s">
        <v>2215</v>
      </c>
    </row>
    <row r="51" spans="1:30">
      <c r="A51" t="s">
        <v>76</v>
      </c>
      <c r="B51" t="s">
        <v>2216</v>
      </c>
      <c r="G51" t="s">
        <v>2217</v>
      </c>
      <c r="I51" t="s">
        <v>2218</v>
      </c>
      <c r="N51" t="s">
        <v>2219</v>
      </c>
      <c r="Q51" t="s">
        <v>2220</v>
      </c>
      <c r="T51" t="s">
        <v>2221</v>
      </c>
      <c r="W51" t="s">
        <v>2222</v>
      </c>
      <c r="Z51" t="s">
        <v>2223</v>
      </c>
      <c r="AC51" t="s">
        <v>2224</v>
      </c>
      <c r="AD51" t="s">
        <v>2225</v>
      </c>
    </row>
    <row r="52" spans="1:30">
      <c r="A52" t="s">
        <v>76</v>
      </c>
      <c r="B52" t="s">
        <v>2226</v>
      </c>
      <c r="G52" t="s">
        <v>2227</v>
      </c>
      <c r="I52" t="s">
        <v>2228</v>
      </c>
      <c r="N52" t="s">
        <v>2229</v>
      </c>
      <c r="Q52" t="s">
        <v>2230</v>
      </c>
      <c r="T52" t="s">
        <v>2231</v>
      </c>
      <c r="W52" t="s">
        <v>2232</v>
      </c>
      <c r="Z52" t="s">
        <v>2233</v>
      </c>
      <c r="AC52" t="s">
        <v>2234</v>
      </c>
      <c r="AD52" t="s">
        <v>2235</v>
      </c>
    </row>
    <row r="53" spans="1:30">
      <c r="A53" t="s">
        <v>76</v>
      </c>
      <c r="B53" t="s">
        <v>2236</v>
      </c>
      <c r="G53" t="s">
        <v>2237</v>
      </c>
      <c r="I53" t="s">
        <v>2238</v>
      </c>
      <c r="N53" t="s">
        <v>2239</v>
      </c>
      <c r="Q53" t="s">
        <v>2240</v>
      </c>
      <c r="T53" t="s">
        <v>2241</v>
      </c>
      <c r="W53" t="s">
        <v>2242</v>
      </c>
      <c r="Z53" t="s">
        <v>2243</v>
      </c>
      <c r="AC53" t="s">
        <v>2244</v>
      </c>
      <c r="AD53" t="s">
        <v>2245</v>
      </c>
    </row>
    <row r="54" spans="1:30">
      <c r="A54" t="s">
        <v>76</v>
      </c>
      <c r="B54" t="s">
        <v>2246</v>
      </c>
      <c r="G54" t="s">
        <v>2247</v>
      </c>
      <c r="I54" t="s">
        <v>2248</v>
      </c>
      <c r="N54" t="s">
        <v>2249</v>
      </c>
      <c r="Q54" t="s">
        <v>2250</v>
      </c>
      <c r="T54" t="s">
        <v>2251</v>
      </c>
      <c r="W54" t="s">
        <v>2252</v>
      </c>
      <c r="Z54" t="s">
        <v>2253</v>
      </c>
      <c r="AC54" t="s">
        <v>2254</v>
      </c>
      <c r="AD54" t="s">
        <v>2255</v>
      </c>
    </row>
    <row r="55" spans="1:30">
      <c r="B55" t="s">
        <v>237</v>
      </c>
      <c r="F55" t="s">
        <v>662</v>
      </c>
    </row>
    <row r="56" spans="1:30">
      <c r="B56" t="s">
        <v>2256</v>
      </c>
      <c r="G56" t="s">
        <v>2257</v>
      </c>
      <c r="I56" t="s">
        <v>2258</v>
      </c>
      <c r="N56" t="s">
        <v>2259</v>
      </c>
      <c r="Q56" t="s">
        <v>2260</v>
      </c>
      <c r="T56" t="s">
        <v>2261</v>
      </c>
      <c r="W56" t="s">
        <v>2262</v>
      </c>
      <c r="Z56" t="s">
        <v>2263</v>
      </c>
      <c r="AC56" t="s">
        <v>2264</v>
      </c>
      <c r="AD56" t="s">
        <v>2265</v>
      </c>
    </row>
    <row r="57" spans="1:30">
      <c r="A57" t="s">
        <v>76</v>
      </c>
      <c r="B57" t="s">
        <v>2266</v>
      </c>
      <c r="G57" t="s">
        <v>2267</v>
      </c>
      <c r="I57" t="s">
        <v>2268</v>
      </c>
      <c r="N57" t="s">
        <v>2269</v>
      </c>
      <c r="Q57" t="s">
        <v>2270</v>
      </c>
      <c r="T57" t="s">
        <v>2271</v>
      </c>
      <c r="W57" t="s">
        <v>2272</v>
      </c>
      <c r="Z57" t="s">
        <v>2273</v>
      </c>
      <c r="AC57" t="s">
        <v>2274</v>
      </c>
      <c r="AD57" t="s">
        <v>2275</v>
      </c>
    </row>
    <row r="58" spans="1:30">
      <c r="A58" t="s">
        <v>76</v>
      </c>
      <c r="B58" t="s">
        <v>2276</v>
      </c>
      <c r="G58" t="s">
        <v>2277</v>
      </c>
      <c r="I58" t="s">
        <v>2278</v>
      </c>
      <c r="N58" t="s">
        <v>2279</v>
      </c>
      <c r="Q58" t="s">
        <v>2280</v>
      </c>
      <c r="T58" t="s">
        <v>2281</v>
      </c>
      <c r="W58" t="s">
        <v>2282</v>
      </c>
      <c r="Z58" t="s">
        <v>2283</v>
      </c>
      <c r="AC58" t="s">
        <v>2284</v>
      </c>
      <c r="AD58" t="s">
        <v>2285</v>
      </c>
    </row>
    <row r="59" spans="1:30">
      <c r="A59" t="s">
        <v>76</v>
      </c>
      <c r="B59" t="s">
        <v>2286</v>
      </c>
      <c r="G59" t="s">
        <v>2287</v>
      </c>
      <c r="I59" t="s">
        <v>2288</v>
      </c>
      <c r="N59" t="s">
        <v>2289</v>
      </c>
      <c r="Q59" t="s">
        <v>2290</v>
      </c>
      <c r="T59" t="s">
        <v>2291</v>
      </c>
      <c r="W59" t="s">
        <v>2292</v>
      </c>
      <c r="Z59" t="s">
        <v>2293</v>
      </c>
      <c r="AC59" t="s">
        <v>2294</v>
      </c>
      <c r="AD59" t="s">
        <v>2295</v>
      </c>
    </row>
    <row r="60" spans="1:30">
      <c r="A60" t="s">
        <v>76</v>
      </c>
      <c r="B60" t="s">
        <v>2296</v>
      </c>
      <c r="G60" t="s">
        <v>2297</v>
      </c>
      <c r="I60" t="s">
        <v>2298</v>
      </c>
      <c r="N60" t="s">
        <v>2299</v>
      </c>
      <c r="Q60" t="s">
        <v>2300</v>
      </c>
      <c r="T60" t="s">
        <v>2301</v>
      </c>
      <c r="W60" t="s">
        <v>2302</v>
      </c>
      <c r="Z60" t="s">
        <v>2303</v>
      </c>
      <c r="AC60" t="s">
        <v>2304</v>
      </c>
      <c r="AD60" t="s">
        <v>2305</v>
      </c>
    </row>
    <row r="61" spans="1:30">
      <c r="A61" t="s">
        <v>76</v>
      </c>
      <c r="B61" t="s">
        <v>2306</v>
      </c>
      <c r="G61" t="s">
        <v>2307</v>
      </c>
      <c r="I61" t="s">
        <v>2308</v>
      </c>
      <c r="N61" t="s">
        <v>2309</v>
      </c>
      <c r="Q61" t="s">
        <v>2310</v>
      </c>
      <c r="T61" t="s">
        <v>2311</v>
      </c>
      <c r="W61" t="s">
        <v>2312</v>
      </c>
      <c r="Z61" t="s">
        <v>2313</v>
      </c>
      <c r="AC61" t="s">
        <v>2314</v>
      </c>
      <c r="AD61" t="s">
        <v>2315</v>
      </c>
    </row>
    <row r="62" spans="1:30">
      <c r="A62" t="s">
        <v>76</v>
      </c>
      <c r="B62" t="s">
        <v>2316</v>
      </c>
      <c r="G62" t="s">
        <v>2317</v>
      </c>
      <c r="I62" t="s">
        <v>2318</v>
      </c>
      <c r="N62" t="s">
        <v>2319</v>
      </c>
      <c r="Q62" t="s">
        <v>2320</v>
      </c>
      <c r="T62" t="s">
        <v>2321</v>
      </c>
      <c r="W62" t="s">
        <v>2322</v>
      </c>
      <c r="Z62" t="s">
        <v>2323</v>
      </c>
      <c r="AC62" t="s">
        <v>2324</v>
      </c>
      <c r="AD62" t="s">
        <v>2325</v>
      </c>
    </row>
    <row r="63" spans="1:30">
      <c r="B63" t="s">
        <v>31</v>
      </c>
      <c r="C63" t="s">
        <v>671</v>
      </c>
      <c r="D63" t="s">
        <v>672</v>
      </c>
    </row>
    <row r="64" spans="1:30">
      <c r="B64" t="s">
        <v>2326</v>
      </c>
      <c r="G64" t="s">
        <v>929</v>
      </c>
      <c r="I64" t="s">
        <v>2327</v>
      </c>
      <c r="N64" t="s">
        <v>2328</v>
      </c>
      <c r="Q64" t="s">
        <v>2329</v>
      </c>
      <c r="T64" t="s">
        <v>2330</v>
      </c>
      <c r="W64" t="s">
        <v>2331</v>
      </c>
      <c r="Z64" t="s">
        <v>2332</v>
      </c>
      <c r="AC64" t="s">
        <v>2333</v>
      </c>
      <c r="AD64" t="s">
        <v>2334</v>
      </c>
    </row>
    <row r="65" spans="1:30">
      <c r="A65" t="s">
        <v>76</v>
      </c>
      <c r="B65" t="s">
        <v>2335</v>
      </c>
      <c r="G65" t="s">
        <v>2336</v>
      </c>
      <c r="I65" t="s">
        <v>2337</v>
      </c>
      <c r="N65" t="s">
        <v>2338</v>
      </c>
      <c r="Q65" t="s">
        <v>2339</v>
      </c>
      <c r="T65" t="s">
        <v>2340</v>
      </c>
      <c r="W65" t="s">
        <v>2341</v>
      </c>
      <c r="Z65" t="s">
        <v>2342</v>
      </c>
      <c r="AC65" t="s">
        <v>2343</v>
      </c>
      <c r="AD65" t="s">
        <v>2344</v>
      </c>
    </row>
    <row r="66" spans="1:30">
      <c r="A66" t="s">
        <v>76</v>
      </c>
      <c r="B66" t="s">
        <v>2345</v>
      </c>
      <c r="G66" t="s">
        <v>2346</v>
      </c>
      <c r="I66" t="s">
        <v>2347</v>
      </c>
      <c r="N66" t="s">
        <v>2348</v>
      </c>
      <c r="Q66" t="s">
        <v>2349</v>
      </c>
      <c r="T66" t="s">
        <v>2350</v>
      </c>
      <c r="W66" t="s">
        <v>2351</v>
      </c>
      <c r="Z66" t="s">
        <v>2352</v>
      </c>
      <c r="AC66" t="s">
        <v>2353</v>
      </c>
      <c r="AD66" t="s">
        <v>2354</v>
      </c>
    </row>
    <row r="67" spans="1:30">
      <c r="A67" t="s">
        <v>76</v>
      </c>
      <c r="B67" t="s">
        <v>2355</v>
      </c>
      <c r="G67" t="s">
        <v>2356</v>
      </c>
      <c r="I67" t="s">
        <v>2357</v>
      </c>
      <c r="N67" t="s">
        <v>2358</v>
      </c>
      <c r="Q67" t="s">
        <v>2359</v>
      </c>
      <c r="T67" t="s">
        <v>2360</v>
      </c>
      <c r="W67" t="s">
        <v>2361</v>
      </c>
      <c r="Z67" t="s">
        <v>2362</v>
      </c>
      <c r="AC67" t="s">
        <v>2363</v>
      </c>
      <c r="AD67" t="s">
        <v>2364</v>
      </c>
    </row>
    <row r="68" spans="1:30">
      <c r="B68" t="s">
        <v>836</v>
      </c>
    </row>
    <row r="69" spans="1:30">
      <c r="B69" t="s">
        <v>836</v>
      </c>
      <c r="I69" t="s">
        <v>676</v>
      </c>
      <c r="N69" t="s">
        <v>2365</v>
      </c>
      <c r="Q69" t="s">
        <v>2366</v>
      </c>
      <c r="T69" t="s">
        <v>2367</v>
      </c>
      <c r="W69" t="s">
        <v>2368</v>
      </c>
      <c r="Z69" t="s">
        <v>2369</v>
      </c>
      <c r="AC69" t="s">
        <v>2370</v>
      </c>
      <c r="AD69" t="s">
        <v>2371</v>
      </c>
    </row>
    <row r="70" spans="1:30">
      <c r="B70" t="s">
        <v>836</v>
      </c>
    </row>
    <row r="71" spans="1:30">
      <c r="B71" t="s">
        <v>836</v>
      </c>
      <c r="I71" t="s">
        <v>677</v>
      </c>
    </row>
    <row r="72" spans="1:30">
      <c r="B72" t="s">
        <v>2372</v>
      </c>
      <c r="C72" t="s">
        <v>678</v>
      </c>
      <c r="D72" t="s">
        <v>679</v>
      </c>
      <c r="I72" t="s">
        <v>680</v>
      </c>
    </row>
    <row r="73" spans="1:30">
      <c r="B73" t="s">
        <v>2373</v>
      </c>
      <c r="G73" t="s">
        <v>1067</v>
      </c>
      <c r="I73" t="s">
        <v>2374</v>
      </c>
      <c r="N73" t="s">
        <v>2375</v>
      </c>
      <c r="Q73" t="s">
        <v>2376</v>
      </c>
      <c r="T73" t="s">
        <v>2377</v>
      </c>
      <c r="W73" t="s">
        <v>2378</v>
      </c>
      <c r="Z73" t="s">
        <v>2379</v>
      </c>
      <c r="AC73" t="s">
        <v>2380</v>
      </c>
      <c r="AD73" t="s">
        <v>2381</v>
      </c>
    </row>
    <row r="74" spans="1:30">
      <c r="B74" t="s">
        <v>31</v>
      </c>
    </row>
    <row r="75" spans="1:30">
      <c r="B75" t="s">
        <v>31</v>
      </c>
      <c r="C75" t="s">
        <v>683</v>
      </c>
      <c r="D75" t="s">
        <v>684</v>
      </c>
    </row>
    <row r="76" spans="1:30">
      <c r="B76" t="s">
        <v>2382</v>
      </c>
      <c r="G76" t="s">
        <v>2383</v>
      </c>
      <c r="I76" t="s">
        <v>965</v>
      </c>
      <c r="N76" t="s">
        <v>2384</v>
      </c>
      <c r="Q76" t="s">
        <v>2385</v>
      </c>
      <c r="T76" t="s">
        <v>2386</v>
      </c>
      <c r="W76" t="s">
        <v>2387</v>
      </c>
      <c r="Z76" t="s">
        <v>2388</v>
      </c>
      <c r="AC76" t="s">
        <v>2389</v>
      </c>
      <c r="AD76" t="s">
        <v>2390</v>
      </c>
    </row>
    <row r="77" spans="1:30">
      <c r="A77" t="s">
        <v>76</v>
      </c>
      <c r="B77" t="s">
        <v>2391</v>
      </c>
      <c r="G77" t="s">
        <v>2392</v>
      </c>
      <c r="I77" t="s">
        <v>2393</v>
      </c>
      <c r="N77" t="s">
        <v>2394</v>
      </c>
      <c r="Q77" t="s">
        <v>2395</v>
      </c>
      <c r="T77" t="s">
        <v>2396</v>
      </c>
      <c r="W77" t="s">
        <v>2397</v>
      </c>
      <c r="Z77" t="s">
        <v>2398</v>
      </c>
      <c r="AC77" t="s">
        <v>2399</v>
      </c>
      <c r="AD77" t="s">
        <v>2400</v>
      </c>
    </row>
    <row r="78" spans="1:30">
      <c r="B78" t="s">
        <v>836</v>
      </c>
    </row>
    <row r="79" spans="1:30">
      <c r="B79" t="s">
        <v>836</v>
      </c>
      <c r="I79" t="s">
        <v>688</v>
      </c>
      <c r="N79" t="s">
        <v>2401</v>
      </c>
      <c r="Q79" t="s">
        <v>2402</v>
      </c>
      <c r="T79" t="s">
        <v>2403</v>
      </c>
      <c r="W79" t="s">
        <v>2404</v>
      </c>
      <c r="Z79" t="s">
        <v>2405</v>
      </c>
      <c r="AC79" t="s">
        <v>2406</v>
      </c>
      <c r="AD79" t="s">
        <v>2407</v>
      </c>
    </row>
    <row r="80" spans="1:30">
      <c r="B80" t="s">
        <v>62</v>
      </c>
    </row>
    <row r="81" spans="1:30">
      <c r="B81" t="s">
        <v>1977</v>
      </c>
      <c r="I81" t="s">
        <v>689</v>
      </c>
      <c r="N81" t="s">
        <v>2408</v>
      </c>
      <c r="Q81" t="s">
        <v>2409</v>
      </c>
      <c r="T81" t="s">
        <v>2410</v>
      </c>
      <c r="W81" t="s">
        <v>2411</v>
      </c>
      <c r="Z81" t="s">
        <v>2412</v>
      </c>
      <c r="AC81" t="s">
        <v>2413</v>
      </c>
      <c r="AD81" t="s">
        <v>2414</v>
      </c>
    </row>
    <row r="82" spans="1:30">
      <c r="B82" t="s">
        <v>62</v>
      </c>
    </row>
    <row r="83" spans="1:30">
      <c r="B83" t="s">
        <v>493</v>
      </c>
      <c r="D83" t="s">
        <v>72</v>
      </c>
    </row>
    <row r="84" spans="1:30">
      <c r="B84" t="s">
        <v>493</v>
      </c>
      <c r="I84" t="s">
        <v>690</v>
      </c>
    </row>
    <row r="85" spans="1:30">
      <c r="B85" t="s">
        <v>493</v>
      </c>
    </row>
    <row r="86" spans="1:30">
      <c r="B86" t="s">
        <v>2415</v>
      </c>
      <c r="C86" t="s">
        <v>691</v>
      </c>
      <c r="I86" t="s">
        <v>692</v>
      </c>
    </row>
    <row r="87" spans="1:30">
      <c r="B87" t="s">
        <v>836</v>
      </c>
    </row>
    <row r="88" spans="1:30">
      <c r="B88" t="s">
        <v>836</v>
      </c>
      <c r="I88" t="s">
        <v>693</v>
      </c>
    </row>
    <row r="89" spans="1:30">
      <c r="B89" t="s">
        <v>694</v>
      </c>
      <c r="D89" t="s">
        <v>695</v>
      </c>
      <c r="G89" t="s">
        <v>909</v>
      </c>
      <c r="I89" t="s">
        <v>2416</v>
      </c>
      <c r="N89" t="s">
        <v>2417</v>
      </c>
      <c r="Q89" t="s">
        <v>2418</v>
      </c>
      <c r="T89" t="s">
        <v>2419</v>
      </c>
      <c r="W89" t="s">
        <v>2420</v>
      </c>
      <c r="Z89" t="s">
        <v>2421</v>
      </c>
      <c r="AC89" t="s">
        <v>2422</v>
      </c>
      <c r="AD89" t="s">
        <v>2423</v>
      </c>
    </row>
    <row r="90" spans="1:30">
      <c r="B90" t="s">
        <v>2424</v>
      </c>
      <c r="G90" t="s">
        <v>2425</v>
      </c>
      <c r="I90" t="s">
        <v>2426</v>
      </c>
      <c r="N90" t="s">
        <v>2427</v>
      </c>
      <c r="Q90" t="s">
        <v>2428</v>
      </c>
      <c r="T90" t="s">
        <v>2429</v>
      </c>
      <c r="W90" t="s">
        <v>2430</v>
      </c>
      <c r="Z90" t="s">
        <v>2431</v>
      </c>
      <c r="AC90" t="s">
        <v>2432</v>
      </c>
      <c r="AD90" t="s">
        <v>2433</v>
      </c>
    </row>
    <row r="91" spans="1:30">
      <c r="A91" t="s">
        <v>76</v>
      </c>
      <c r="B91" t="s">
        <v>2434</v>
      </c>
      <c r="G91" t="s">
        <v>2435</v>
      </c>
      <c r="I91" t="s">
        <v>2436</v>
      </c>
      <c r="N91" t="s">
        <v>2437</v>
      </c>
      <c r="Q91" t="s">
        <v>2438</v>
      </c>
      <c r="T91" t="s">
        <v>2439</v>
      </c>
      <c r="W91" t="s">
        <v>2440</v>
      </c>
      <c r="Z91" t="s">
        <v>2441</v>
      </c>
      <c r="AC91" t="s">
        <v>2442</v>
      </c>
      <c r="AD91" t="s">
        <v>2443</v>
      </c>
    </row>
    <row r="92" spans="1:30">
      <c r="A92" t="s">
        <v>76</v>
      </c>
      <c r="B92" t="s">
        <v>2444</v>
      </c>
      <c r="G92" t="s">
        <v>2445</v>
      </c>
      <c r="I92" t="s">
        <v>2446</v>
      </c>
      <c r="N92" t="s">
        <v>2447</v>
      </c>
      <c r="Q92" t="s">
        <v>2448</v>
      </c>
      <c r="T92" t="s">
        <v>2449</v>
      </c>
      <c r="W92" t="s">
        <v>2450</v>
      </c>
      <c r="Z92" t="s">
        <v>2451</v>
      </c>
      <c r="AC92" t="s">
        <v>2452</v>
      </c>
      <c r="AD92" t="s">
        <v>2453</v>
      </c>
    </row>
    <row r="93" spans="1:30">
      <c r="A93" t="s">
        <v>76</v>
      </c>
      <c r="B93" t="s">
        <v>2454</v>
      </c>
      <c r="G93" t="s">
        <v>2455</v>
      </c>
      <c r="I93" t="s">
        <v>1007</v>
      </c>
      <c r="N93" t="s">
        <v>2456</v>
      </c>
      <c r="Q93" t="s">
        <v>2457</v>
      </c>
      <c r="T93" t="s">
        <v>2458</v>
      </c>
      <c r="W93" t="s">
        <v>2459</v>
      </c>
      <c r="Z93" t="s">
        <v>2460</v>
      </c>
      <c r="AC93" t="s">
        <v>2461</v>
      </c>
      <c r="AD93" t="s">
        <v>2462</v>
      </c>
    </row>
    <row r="94" spans="1:30">
      <c r="A94" t="s">
        <v>76</v>
      </c>
      <c r="B94" t="s">
        <v>2463</v>
      </c>
      <c r="G94" t="s">
        <v>2464</v>
      </c>
      <c r="I94" t="s">
        <v>2465</v>
      </c>
      <c r="N94" t="s">
        <v>2466</v>
      </c>
      <c r="Q94" t="s">
        <v>2467</v>
      </c>
      <c r="T94" t="s">
        <v>2468</v>
      </c>
      <c r="W94" t="s">
        <v>2469</v>
      </c>
      <c r="Z94" t="s">
        <v>2470</v>
      </c>
      <c r="AC94" t="s">
        <v>2471</v>
      </c>
      <c r="AD94" t="s">
        <v>2472</v>
      </c>
    </row>
    <row r="95" spans="1:30">
      <c r="A95" t="s">
        <v>76</v>
      </c>
      <c r="B95" t="s">
        <v>2473</v>
      </c>
      <c r="G95" t="s">
        <v>2474</v>
      </c>
      <c r="I95" t="s">
        <v>2475</v>
      </c>
      <c r="N95" t="s">
        <v>2476</v>
      </c>
      <c r="Q95" t="s">
        <v>2477</v>
      </c>
      <c r="T95" t="s">
        <v>2478</v>
      </c>
      <c r="W95" t="s">
        <v>2479</v>
      </c>
      <c r="Z95" t="s">
        <v>2480</v>
      </c>
      <c r="AC95" t="s">
        <v>2481</v>
      </c>
      <c r="AD95" t="s">
        <v>2482</v>
      </c>
    </row>
    <row r="96" spans="1:30">
      <c r="A96" t="s">
        <v>76</v>
      </c>
      <c r="B96" t="s">
        <v>2483</v>
      </c>
      <c r="G96" t="s">
        <v>2484</v>
      </c>
      <c r="I96" t="s">
        <v>2485</v>
      </c>
      <c r="N96" t="s">
        <v>2486</v>
      </c>
      <c r="Q96" t="s">
        <v>2487</v>
      </c>
      <c r="T96" t="s">
        <v>2488</v>
      </c>
      <c r="W96" t="s">
        <v>2489</v>
      </c>
      <c r="Z96" t="s">
        <v>2490</v>
      </c>
      <c r="AC96" t="s">
        <v>2491</v>
      </c>
      <c r="AD96" t="s">
        <v>2492</v>
      </c>
    </row>
    <row r="97" spans="1:30">
      <c r="A97" t="s">
        <v>76</v>
      </c>
      <c r="B97" t="s">
        <v>2493</v>
      </c>
      <c r="G97" t="s">
        <v>2494</v>
      </c>
      <c r="I97" t="s">
        <v>1015</v>
      </c>
      <c r="N97" t="s">
        <v>2495</v>
      </c>
      <c r="Q97" t="s">
        <v>2496</v>
      </c>
      <c r="T97" t="s">
        <v>2497</v>
      </c>
      <c r="W97" t="s">
        <v>2498</v>
      </c>
      <c r="Z97" t="s">
        <v>2499</v>
      </c>
      <c r="AC97" t="s">
        <v>2500</v>
      </c>
      <c r="AD97" t="s">
        <v>2501</v>
      </c>
    </row>
    <row r="98" spans="1:30">
      <c r="B98" t="s">
        <v>2502</v>
      </c>
      <c r="G98" t="s">
        <v>921</v>
      </c>
      <c r="I98" t="s">
        <v>647</v>
      </c>
      <c r="N98" t="s">
        <v>2503</v>
      </c>
      <c r="Q98" t="s">
        <v>2504</v>
      </c>
      <c r="T98" t="s">
        <v>2505</v>
      </c>
      <c r="W98" t="s">
        <v>2506</v>
      </c>
      <c r="Z98" t="s">
        <v>2507</v>
      </c>
      <c r="AC98" t="s">
        <v>2508</v>
      </c>
      <c r="AD98" t="s">
        <v>2509</v>
      </c>
    </row>
    <row r="99" spans="1:30">
      <c r="B99" t="s">
        <v>836</v>
      </c>
    </row>
    <row r="100" spans="1:30">
      <c r="B100" t="s">
        <v>836</v>
      </c>
      <c r="I100" t="s">
        <v>705</v>
      </c>
      <c r="N100" t="s">
        <v>2510</v>
      </c>
      <c r="Q100" t="s">
        <v>2511</v>
      </c>
      <c r="T100" t="s">
        <v>2512</v>
      </c>
      <c r="W100" t="s">
        <v>2513</v>
      </c>
      <c r="Z100" t="s">
        <v>2514</v>
      </c>
      <c r="AC100" t="s">
        <v>2515</v>
      </c>
      <c r="AD100" t="s">
        <v>2516</v>
      </c>
    </row>
    <row r="101" spans="1:30">
      <c r="B101" t="s">
        <v>836</v>
      </c>
    </row>
    <row r="102" spans="1:30">
      <c r="B102" t="s">
        <v>836</v>
      </c>
      <c r="I102" t="s">
        <v>706</v>
      </c>
    </row>
    <row r="103" spans="1:30">
      <c r="B103" t="s">
        <v>2517</v>
      </c>
      <c r="C103" t="s">
        <v>691</v>
      </c>
      <c r="D103" t="s">
        <v>707</v>
      </c>
      <c r="G103" t="s">
        <v>2518</v>
      </c>
      <c r="I103" t="s">
        <v>2519</v>
      </c>
      <c r="N103" t="s">
        <v>2520</v>
      </c>
      <c r="Q103" t="s">
        <v>2521</v>
      </c>
      <c r="T103" t="s">
        <v>2522</v>
      </c>
      <c r="W103" t="s">
        <v>2523</v>
      </c>
      <c r="Z103" t="s">
        <v>2524</v>
      </c>
      <c r="AC103" t="s">
        <v>2525</v>
      </c>
      <c r="AD103" t="s">
        <v>2526</v>
      </c>
    </row>
    <row r="104" spans="1:30">
      <c r="B104" t="s">
        <v>836</v>
      </c>
    </row>
    <row r="105" spans="1:30">
      <c r="B105" t="s">
        <v>836</v>
      </c>
      <c r="I105" t="s">
        <v>708</v>
      </c>
      <c r="N105" t="s">
        <v>2527</v>
      </c>
      <c r="Q105" t="s">
        <v>2528</v>
      </c>
      <c r="T105" t="s">
        <v>2529</v>
      </c>
      <c r="W105" t="s">
        <v>2530</v>
      </c>
      <c r="Z105" t="s">
        <v>2531</v>
      </c>
      <c r="AC105" t="s">
        <v>2532</v>
      </c>
      <c r="AD105" t="s">
        <v>2533</v>
      </c>
    </row>
    <row r="106" spans="1:30">
      <c r="B106" t="s">
        <v>694</v>
      </c>
    </row>
    <row r="107" spans="1:30">
      <c r="B107" t="s">
        <v>694</v>
      </c>
      <c r="I107" t="s">
        <v>709</v>
      </c>
      <c r="N107" t="s">
        <v>2534</v>
      </c>
      <c r="Q107" t="s">
        <v>2535</v>
      </c>
      <c r="T107" t="s">
        <v>2536</v>
      </c>
      <c r="W107" t="s">
        <v>2537</v>
      </c>
      <c r="Z107" t="s">
        <v>2538</v>
      </c>
      <c r="AC107" t="s">
        <v>2539</v>
      </c>
      <c r="AD107" t="s">
        <v>2540</v>
      </c>
    </row>
    <row r="108" spans="1:30">
      <c r="B108" t="s">
        <v>694</v>
      </c>
    </row>
    <row r="109" spans="1:30">
      <c r="B109" t="s">
        <v>493</v>
      </c>
      <c r="D109" t="s">
        <v>710</v>
      </c>
      <c r="E109" t="s">
        <v>711</v>
      </c>
    </row>
    <row r="110" spans="1:30">
      <c r="B110" t="s">
        <v>2541</v>
      </c>
      <c r="C110" t="s">
        <v>712</v>
      </c>
      <c r="I110" t="s">
        <v>2542</v>
      </c>
      <c r="AD110" t="s">
        <v>2543</v>
      </c>
    </row>
    <row r="111" spans="1:30">
      <c r="B111" t="s">
        <v>2544</v>
      </c>
      <c r="D111" t="s">
        <v>710</v>
      </c>
      <c r="AD111" t="s">
        <v>2545</v>
      </c>
    </row>
    <row r="112" spans="1:30">
      <c r="B112" t="s">
        <v>2544</v>
      </c>
      <c r="D112" t="s">
        <v>713</v>
      </c>
      <c r="I112" t="s">
        <v>712</v>
      </c>
      <c r="AD112" t="s">
        <v>2546</v>
      </c>
    </row>
    <row r="113" spans="1:30">
      <c r="B113" t="s">
        <v>2547</v>
      </c>
      <c r="G113" t="s">
        <v>947</v>
      </c>
      <c r="I113" t="s">
        <v>714</v>
      </c>
      <c r="M113" t="s">
        <v>948</v>
      </c>
      <c r="N113" t="s">
        <v>2548</v>
      </c>
      <c r="P113" t="s">
        <v>2549</v>
      </c>
      <c r="Q113" t="s">
        <v>2550</v>
      </c>
      <c r="S113" t="s">
        <v>2551</v>
      </c>
      <c r="T113" t="s">
        <v>2552</v>
      </c>
      <c r="V113" t="s">
        <v>2553</v>
      </c>
      <c r="W113" t="s">
        <v>2554</v>
      </c>
      <c r="Y113" t="s">
        <v>2555</v>
      </c>
      <c r="Z113" t="s">
        <v>2556</v>
      </c>
      <c r="AC113" t="s">
        <v>2557</v>
      </c>
      <c r="AD113" t="s">
        <v>2558</v>
      </c>
    </row>
    <row r="114" spans="1:30">
      <c r="B114" t="s">
        <v>2559</v>
      </c>
      <c r="G114" t="s">
        <v>953</v>
      </c>
      <c r="I114" t="s">
        <v>715</v>
      </c>
      <c r="M114" t="s">
        <v>954</v>
      </c>
      <c r="N114" t="s">
        <v>2560</v>
      </c>
      <c r="P114" t="s">
        <v>2561</v>
      </c>
      <c r="Q114" t="s">
        <v>2562</v>
      </c>
      <c r="S114" t="s">
        <v>2563</v>
      </c>
      <c r="T114" t="s">
        <v>2564</v>
      </c>
      <c r="V114" t="s">
        <v>2565</v>
      </c>
      <c r="W114" t="s">
        <v>2566</v>
      </c>
      <c r="Y114" t="s">
        <v>2567</v>
      </c>
      <c r="Z114" t="s">
        <v>2568</v>
      </c>
      <c r="AC114" t="s">
        <v>2569</v>
      </c>
      <c r="AD114" t="s">
        <v>2570</v>
      </c>
    </row>
    <row r="115" spans="1:30">
      <c r="B115" t="s">
        <v>2571</v>
      </c>
      <c r="G115" t="s">
        <v>953</v>
      </c>
      <c r="I115" t="s">
        <v>716</v>
      </c>
      <c r="M115" t="s">
        <v>959</v>
      </c>
      <c r="N115" t="s">
        <v>2572</v>
      </c>
      <c r="P115" t="s">
        <v>2573</v>
      </c>
      <c r="Q115" t="s">
        <v>2574</v>
      </c>
      <c r="S115" t="s">
        <v>2575</v>
      </c>
      <c r="T115" t="s">
        <v>2576</v>
      </c>
      <c r="V115" t="s">
        <v>2577</v>
      </c>
      <c r="W115" t="s">
        <v>2578</v>
      </c>
      <c r="Y115" t="s">
        <v>2579</v>
      </c>
      <c r="Z115" t="s">
        <v>2580</v>
      </c>
      <c r="AC115" t="s">
        <v>2581</v>
      </c>
      <c r="AD115" t="s">
        <v>2582</v>
      </c>
    </row>
    <row r="116" spans="1:30">
      <c r="B116" t="s">
        <v>2583</v>
      </c>
      <c r="D116" t="s">
        <v>710</v>
      </c>
      <c r="G116" t="s">
        <v>2584</v>
      </c>
      <c r="I116" t="s">
        <v>2585</v>
      </c>
      <c r="M116" t="s">
        <v>966</v>
      </c>
      <c r="N116" t="s">
        <v>2586</v>
      </c>
      <c r="P116" t="s">
        <v>2587</v>
      </c>
      <c r="Q116" t="s">
        <v>2588</v>
      </c>
      <c r="S116" t="s">
        <v>2589</v>
      </c>
      <c r="T116" t="s">
        <v>2590</v>
      </c>
      <c r="V116" t="s">
        <v>2591</v>
      </c>
      <c r="W116" t="s">
        <v>2592</v>
      </c>
      <c r="Y116" t="s">
        <v>2593</v>
      </c>
      <c r="Z116" t="s">
        <v>2594</v>
      </c>
      <c r="AC116" t="s">
        <v>2595</v>
      </c>
      <c r="AD116" t="s">
        <v>2596</v>
      </c>
    </row>
    <row r="117" spans="1:30">
      <c r="A117" t="s">
        <v>76</v>
      </c>
      <c r="B117" t="s">
        <v>2597</v>
      </c>
      <c r="D117" t="s">
        <v>710</v>
      </c>
      <c r="G117" t="s">
        <v>2598</v>
      </c>
      <c r="I117" t="s">
        <v>1068</v>
      </c>
      <c r="M117" t="s">
        <v>966</v>
      </c>
      <c r="N117" t="s">
        <v>2599</v>
      </c>
      <c r="P117" t="s">
        <v>2587</v>
      </c>
      <c r="Q117" t="s">
        <v>2600</v>
      </c>
      <c r="S117" t="s">
        <v>2589</v>
      </c>
      <c r="T117" t="s">
        <v>2601</v>
      </c>
      <c r="V117" t="s">
        <v>2591</v>
      </c>
      <c r="W117" t="s">
        <v>2602</v>
      </c>
      <c r="Y117" t="s">
        <v>2593</v>
      </c>
      <c r="Z117" t="s">
        <v>2603</v>
      </c>
      <c r="AC117" t="s">
        <v>2604</v>
      </c>
      <c r="AD117" t="s">
        <v>2605</v>
      </c>
    </row>
    <row r="118" spans="1:30">
      <c r="A118" t="s">
        <v>76</v>
      </c>
      <c r="B118" t="s">
        <v>2606</v>
      </c>
      <c r="D118" t="s">
        <v>710</v>
      </c>
      <c r="G118" t="s">
        <v>2607</v>
      </c>
      <c r="I118" t="s">
        <v>2608</v>
      </c>
      <c r="M118" t="s">
        <v>966</v>
      </c>
      <c r="N118" t="s">
        <v>2609</v>
      </c>
      <c r="P118" t="s">
        <v>2587</v>
      </c>
      <c r="Q118" t="s">
        <v>2610</v>
      </c>
      <c r="S118" t="s">
        <v>2589</v>
      </c>
      <c r="T118" t="s">
        <v>2611</v>
      </c>
      <c r="V118" t="s">
        <v>2591</v>
      </c>
      <c r="W118" t="s">
        <v>2612</v>
      </c>
      <c r="Y118" t="s">
        <v>2593</v>
      </c>
      <c r="Z118" t="s">
        <v>2613</v>
      </c>
      <c r="AC118" t="s">
        <v>2614</v>
      </c>
      <c r="AD118" t="s">
        <v>2615</v>
      </c>
    </row>
    <row r="119" spans="1:30">
      <c r="A119" t="s">
        <v>76</v>
      </c>
      <c r="B119" t="s">
        <v>2616</v>
      </c>
      <c r="D119" t="s">
        <v>710</v>
      </c>
      <c r="G119" t="s">
        <v>2617</v>
      </c>
      <c r="I119" t="s">
        <v>2618</v>
      </c>
      <c r="M119" t="s">
        <v>966</v>
      </c>
      <c r="N119" t="s">
        <v>2619</v>
      </c>
      <c r="P119" t="s">
        <v>2587</v>
      </c>
      <c r="Q119" t="s">
        <v>2620</v>
      </c>
      <c r="S119" t="s">
        <v>2589</v>
      </c>
      <c r="T119" t="s">
        <v>2621</v>
      </c>
      <c r="V119" t="s">
        <v>2591</v>
      </c>
      <c r="W119" t="s">
        <v>2622</v>
      </c>
      <c r="Y119" t="s">
        <v>2593</v>
      </c>
      <c r="Z119" t="s">
        <v>2623</v>
      </c>
      <c r="AC119" t="s">
        <v>2624</v>
      </c>
      <c r="AD119" t="s">
        <v>2625</v>
      </c>
    </row>
    <row r="120" spans="1:30">
      <c r="A120" t="s">
        <v>76</v>
      </c>
      <c r="B120" t="s">
        <v>2626</v>
      </c>
      <c r="D120" t="s">
        <v>710</v>
      </c>
      <c r="G120" t="s">
        <v>2627</v>
      </c>
      <c r="I120" t="s">
        <v>2628</v>
      </c>
      <c r="M120" t="s">
        <v>966</v>
      </c>
      <c r="N120" t="s">
        <v>2629</v>
      </c>
      <c r="P120" t="s">
        <v>2587</v>
      </c>
      <c r="Q120" t="s">
        <v>2630</v>
      </c>
      <c r="S120" t="s">
        <v>2589</v>
      </c>
      <c r="T120" t="s">
        <v>2631</v>
      </c>
      <c r="V120" t="s">
        <v>2591</v>
      </c>
      <c r="W120" t="s">
        <v>2632</v>
      </c>
      <c r="Y120" t="s">
        <v>2593</v>
      </c>
      <c r="Z120" t="s">
        <v>2633</v>
      </c>
      <c r="AC120" t="s">
        <v>2634</v>
      </c>
      <c r="AD120" t="s">
        <v>2635</v>
      </c>
    </row>
    <row r="121" spans="1:30">
      <c r="A121" t="s">
        <v>76</v>
      </c>
      <c r="B121" t="s">
        <v>2636</v>
      </c>
      <c r="D121" t="s">
        <v>710</v>
      </c>
      <c r="G121" t="s">
        <v>2637</v>
      </c>
      <c r="I121" t="s">
        <v>2638</v>
      </c>
      <c r="M121" t="s">
        <v>966</v>
      </c>
      <c r="N121" t="s">
        <v>2639</v>
      </c>
      <c r="P121" t="s">
        <v>2587</v>
      </c>
      <c r="Q121" t="s">
        <v>2640</v>
      </c>
      <c r="S121" t="s">
        <v>2589</v>
      </c>
      <c r="T121" t="s">
        <v>2641</v>
      </c>
      <c r="V121" t="s">
        <v>2591</v>
      </c>
      <c r="W121" t="s">
        <v>2642</v>
      </c>
      <c r="Y121" t="s">
        <v>2593</v>
      </c>
      <c r="Z121" t="s">
        <v>2643</v>
      </c>
      <c r="AC121" t="s">
        <v>2644</v>
      </c>
      <c r="AD121" t="s">
        <v>2645</v>
      </c>
    </row>
    <row r="122" spans="1:30">
      <c r="A122" t="s">
        <v>76</v>
      </c>
      <c r="B122" t="s">
        <v>2646</v>
      </c>
      <c r="D122" t="s">
        <v>710</v>
      </c>
      <c r="G122" t="s">
        <v>2647</v>
      </c>
      <c r="I122" t="s">
        <v>2648</v>
      </c>
      <c r="M122" t="s">
        <v>966</v>
      </c>
      <c r="N122" t="s">
        <v>2649</v>
      </c>
      <c r="P122" t="s">
        <v>2587</v>
      </c>
      <c r="Q122" t="s">
        <v>2650</v>
      </c>
      <c r="S122" t="s">
        <v>2589</v>
      </c>
      <c r="T122" t="s">
        <v>2651</v>
      </c>
      <c r="V122" t="s">
        <v>2591</v>
      </c>
      <c r="W122" t="s">
        <v>2652</v>
      </c>
      <c r="Y122" t="s">
        <v>2593</v>
      </c>
      <c r="Z122" t="s">
        <v>2653</v>
      </c>
      <c r="AC122" t="s">
        <v>2654</v>
      </c>
      <c r="AD122" t="s">
        <v>2655</v>
      </c>
    </row>
    <row r="123" spans="1:30">
      <c r="A123" t="s">
        <v>76</v>
      </c>
      <c r="B123" t="s">
        <v>2656</v>
      </c>
      <c r="D123" t="s">
        <v>710</v>
      </c>
      <c r="G123" t="s">
        <v>2657</v>
      </c>
      <c r="I123" t="s">
        <v>2658</v>
      </c>
      <c r="M123" t="s">
        <v>966</v>
      </c>
      <c r="N123" t="s">
        <v>2659</v>
      </c>
      <c r="P123" t="s">
        <v>2587</v>
      </c>
      <c r="Q123" t="s">
        <v>2660</v>
      </c>
      <c r="S123" t="s">
        <v>2589</v>
      </c>
      <c r="T123" t="s">
        <v>2661</v>
      </c>
      <c r="V123" t="s">
        <v>2591</v>
      </c>
      <c r="W123" t="s">
        <v>2662</v>
      </c>
      <c r="Y123" t="s">
        <v>2593</v>
      </c>
      <c r="Z123" t="s">
        <v>2663</v>
      </c>
      <c r="AC123" t="s">
        <v>2664</v>
      </c>
      <c r="AD123" t="s">
        <v>2665</v>
      </c>
    </row>
    <row r="124" spans="1:30">
      <c r="B124" t="s">
        <v>493</v>
      </c>
    </row>
    <row r="125" spans="1:30">
      <c r="B125" t="s">
        <v>2666</v>
      </c>
      <c r="G125" t="s">
        <v>971</v>
      </c>
      <c r="I125" t="s">
        <v>724</v>
      </c>
      <c r="M125" t="s">
        <v>972</v>
      </c>
      <c r="N125" t="s">
        <v>2667</v>
      </c>
      <c r="P125" t="s">
        <v>2668</v>
      </c>
      <c r="Q125" t="s">
        <v>2669</v>
      </c>
      <c r="S125" t="s">
        <v>2670</v>
      </c>
      <c r="T125" t="s">
        <v>2671</v>
      </c>
      <c r="V125" t="s">
        <v>2672</v>
      </c>
      <c r="W125" t="s">
        <v>2673</v>
      </c>
      <c r="Y125" t="s">
        <v>2674</v>
      </c>
      <c r="Z125" t="s">
        <v>2675</v>
      </c>
      <c r="AC125" t="s">
        <v>2676</v>
      </c>
      <c r="AD125" t="s">
        <v>2677</v>
      </c>
    </row>
    <row r="126" spans="1:30">
      <c r="B126" t="s">
        <v>2678</v>
      </c>
    </row>
    <row r="127" spans="1:30">
      <c r="D127" t="s">
        <v>725</v>
      </c>
      <c r="I127" t="s">
        <v>726</v>
      </c>
    </row>
    <row r="128" spans="1:30">
      <c r="G128" t="s">
        <v>2679</v>
      </c>
      <c r="I128" t="s">
        <v>2680</v>
      </c>
      <c r="M128" t="s">
        <v>979</v>
      </c>
      <c r="N128" t="s">
        <v>2681</v>
      </c>
      <c r="P128" t="s">
        <v>2682</v>
      </c>
      <c r="Q128" t="s">
        <v>2683</v>
      </c>
      <c r="S128" t="s">
        <v>2684</v>
      </c>
      <c r="T128" t="s">
        <v>2685</v>
      </c>
      <c r="V128" t="s">
        <v>2686</v>
      </c>
      <c r="W128" t="s">
        <v>2687</v>
      </c>
      <c r="Y128" t="s">
        <v>2688</v>
      </c>
      <c r="Z128" t="s">
        <v>2689</v>
      </c>
      <c r="AC128" t="s">
        <v>2690</v>
      </c>
      <c r="AD128" t="s">
        <v>2691</v>
      </c>
    </row>
    <row r="130" spans="4:30">
      <c r="I130" t="s">
        <v>727</v>
      </c>
      <c r="N130" t="s">
        <v>2692</v>
      </c>
      <c r="Q130" t="s">
        <v>2693</v>
      </c>
      <c r="T130" t="s">
        <v>2694</v>
      </c>
      <c r="W130" t="s">
        <v>2695</v>
      </c>
      <c r="Z130" t="s">
        <v>2696</v>
      </c>
      <c r="AC130" t="s">
        <v>2697</v>
      </c>
      <c r="AD130" t="s">
        <v>2698</v>
      </c>
    </row>
    <row r="131" spans="4:30">
      <c r="D131" t="s">
        <v>728</v>
      </c>
      <c r="I131" t="s">
        <v>729</v>
      </c>
    </row>
    <row r="132" spans="4:30">
      <c r="G132" t="s">
        <v>986</v>
      </c>
      <c r="I132" t="s">
        <v>166</v>
      </c>
      <c r="M132" t="s">
        <v>948</v>
      </c>
      <c r="N132" t="s">
        <v>2699</v>
      </c>
      <c r="P132" t="s">
        <v>2549</v>
      </c>
      <c r="Q132" t="s">
        <v>2700</v>
      </c>
      <c r="S132" t="s">
        <v>2551</v>
      </c>
      <c r="T132" t="s">
        <v>2701</v>
      </c>
      <c r="V132" t="s">
        <v>2553</v>
      </c>
      <c r="W132" t="s">
        <v>2702</v>
      </c>
      <c r="Y132" t="s">
        <v>2555</v>
      </c>
      <c r="Z132" t="s">
        <v>2703</v>
      </c>
      <c r="AC132" t="s">
        <v>2704</v>
      </c>
      <c r="AD132" t="s">
        <v>2705</v>
      </c>
    </row>
    <row r="133" spans="4:30">
      <c r="G133" t="s">
        <v>990</v>
      </c>
      <c r="I133" t="s">
        <v>730</v>
      </c>
      <c r="M133" t="s">
        <v>954</v>
      </c>
      <c r="N133" t="s">
        <v>2706</v>
      </c>
      <c r="P133" t="s">
        <v>2561</v>
      </c>
      <c r="Q133" t="s">
        <v>2707</v>
      </c>
      <c r="S133" t="s">
        <v>2563</v>
      </c>
      <c r="T133" t="s">
        <v>2708</v>
      </c>
      <c r="V133" t="s">
        <v>2565</v>
      </c>
      <c r="W133" t="s">
        <v>2709</v>
      </c>
      <c r="Y133" t="s">
        <v>2567</v>
      </c>
      <c r="Z133" t="s">
        <v>2710</v>
      </c>
      <c r="AC133" t="s">
        <v>2711</v>
      </c>
      <c r="AD133" t="s">
        <v>2712</v>
      </c>
    </row>
    <row r="134" spans="4:30">
      <c r="G134" t="s">
        <v>994</v>
      </c>
      <c r="I134" t="s">
        <v>731</v>
      </c>
      <c r="M134" t="s">
        <v>959</v>
      </c>
      <c r="N134" t="s">
        <v>2713</v>
      </c>
      <c r="P134" t="s">
        <v>2573</v>
      </c>
      <c r="Q134" t="s">
        <v>2714</v>
      </c>
      <c r="S134" t="s">
        <v>2575</v>
      </c>
      <c r="T134" t="s">
        <v>2715</v>
      </c>
      <c r="V134" t="s">
        <v>2577</v>
      </c>
      <c r="W134" t="s">
        <v>2716</v>
      </c>
      <c r="Y134" t="s">
        <v>2579</v>
      </c>
      <c r="Z134" t="s">
        <v>2717</v>
      </c>
      <c r="AC134" t="s">
        <v>2718</v>
      </c>
      <c r="AD134" t="s">
        <v>2719</v>
      </c>
    </row>
    <row r="136" spans="4:30">
      <c r="D136" t="s">
        <v>710</v>
      </c>
      <c r="G136" t="s">
        <v>2720</v>
      </c>
      <c r="I136" t="s">
        <v>2721</v>
      </c>
      <c r="M136" t="s">
        <v>966</v>
      </c>
      <c r="N136" t="s">
        <v>2722</v>
      </c>
      <c r="P136" t="s">
        <v>2587</v>
      </c>
      <c r="Q136" t="s">
        <v>2723</v>
      </c>
      <c r="S136" t="s">
        <v>2589</v>
      </c>
      <c r="T136" t="s">
        <v>2724</v>
      </c>
      <c r="V136" t="s">
        <v>2591</v>
      </c>
      <c r="W136" t="s">
        <v>2725</v>
      </c>
      <c r="Y136" t="s">
        <v>2593</v>
      </c>
      <c r="Z136" t="s">
        <v>2726</v>
      </c>
      <c r="AC136" t="s">
        <v>2727</v>
      </c>
      <c r="AD136" t="s">
        <v>2728</v>
      </c>
    </row>
    <row r="138" spans="4:30">
      <c r="I138" t="s">
        <v>732</v>
      </c>
      <c r="N138" t="s">
        <v>2729</v>
      </c>
      <c r="Q138" t="s">
        <v>2730</v>
      </c>
      <c r="T138" t="s">
        <v>2731</v>
      </c>
      <c r="W138" t="s">
        <v>2732</v>
      </c>
      <c r="Z138" t="s">
        <v>2733</v>
      </c>
      <c r="AC138" t="s">
        <v>2734</v>
      </c>
      <c r="AD138" t="s">
        <v>2735</v>
      </c>
    </row>
    <row r="139" spans="4:30">
      <c r="D139" t="s">
        <v>733</v>
      </c>
      <c r="I139" t="s">
        <v>734</v>
      </c>
    </row>
    <row r="140" spans="4:30">
      <c r="G140" t="s">
        <v>2736</v>
      </c>
      <c r="I140" t="s">
        <v>2737</v>
      </c>
      <c r="M140" t="s">
        <v>979</v>
      </c>
      <c r="N140" t="s">
        <v>2738</v>
      </c>
      <c r="P140" t="s">
        <v>2682</v>
      </c>
      <c r="Q140" t="s">
        <v>2739</v>
      </c>
      <c r="S140" t="s">
        <v>2684</v>
      </c>
      <c r="T140" t="s">
        <v>2740</v>
      </c>
      <c r="V140" t="s">
        <v>2686</v>
      </c>
      <c r="W140" t="s">
        <v>2741</v>
      </c>
      <c r="Y140" t="s">
        <v>2688</v>
      </c>
      <c r="Z140" t="s">
        <v>2742</v>
      </c>
      <c r="AC140" t="s">
        <v>2743</v>
      </c>
      <c r="AD140" t="s">
        <v>2744</v>
      </c>
    </row>
    <row r="142" spans="4:30">
      <c r="I142" t="s">
        <v>735</v>
      </c>
      <c r="N142" t="s">
        <v>2745</v>
      </c>
      <c r="Q142" t="s">
        <v>2746</v>
      </c>
      <c r="T142" t="s">
        <v>2747</v>
      </c>
      <c r="W142" t="s">
        <v>2748</v>
      </c>
      <c r="Z142" t="s">
        <v>2749</v>
      </c>
      <c r="AC142" t="s">
        <v>2750</v>
      </c>
      <c r="AD142" t="s">
        <v>2751</v>
      </c>
    </row>
    <row r="143" spans="4:30">
      <c r="D143" t="s">
        <v>736</v>
      </c>
      <c r="I143" t="s">
        <v>737</v>
      </c>
    </row>
    <row r="144" spans="4:30">
      <c r="G144" t="s">
        <v>2752</v>
      </c>
      <c r="I144" t="s">
        <v>2753</v>
      </c>
      <c r="M144" t="s">
        <v>979</v>
      </c>
      <c r="N144" t="s">
        <v>2754</v>
      </c>
      <c r="P144" t="s">
        <v>2682</v>
      </c>
      <c r="Q144" t="s">
        <v>2755</v>
      </c>
      <c r="S144" t="s">
        <v>2684</v>
      </c>
      <c r="T144" t="s">
        <v>2756</v>
      </c>
      <c r="V144" t="s">
        <v>2686</v>
      </c>
      <c r="W144" t="s">
        <v>2757</v>
      </c>
      <c r="Y144" t="s">
        <v>2688</v>
      </c>
      <c r="Z144" t="s">
        <v>2758</v>
      </c>
      <c r="AC144" t="s">
        <v>2759</v>
      </c>
      <c r="AD144" t="s">
        <v>2760</v>
      </c>
    </row>
    <row r="145" spans="1:30">
      <c r="A145" t="s">
        <v>76</v>
      </c>
      <c r="G145" t="s">
        <v>2627</v>
      </c>
      <c r="I145" t="s">
        <v>2761</v>
      </c>
      <c r="M145" t="s">
        <v>979</v>
      </c>
      <c r="N145" t="s">
        <v>2762</v>
      </c>
      <c r="P145" t="s">
        <v>2682</v>
      </c>
      <c r="Q145" t="s">
        <v>2763</v>
      </c>
      <c r="S145" t="s">
        <v>2684</v>
      </c>
      <c r="T145" t="s">
        <v>2764</v>
      </c>
      <c r="V145" t="s">
        <v>2686</v>
      </c>
      <c r="W145" t="s">
        <v>2765</v>
      </c>
      <c r="Y145" t="s">
        <v>2688</v>
      </c>
      <c r="Z145" t="s">
        <v>2766</v>
      </c>
      <c r="AC145" t="s">
        <v>2767</v>
      </c>
      <c r="AD145" t="s">
        <v>2768</v>
      </c>
    </row>
    <row r="146" spans="1:30">
      <c r="A146" t="s">
        <v>76</v>
      </c>
      <c r="G146" t="s">
        <v>2637</v>
      </c>
      <c r="I146" t="s">
        <v>2769</v>
      </c>
      <c r="M146" t="s">
        <v>979</v>
      </c>
      <c r="N146" t="s">
        <v>2770</v>
      </c>
      <c r="P146" t="s">
        <v>2682</v>
      </c>
      <c r="Q146" t="s">
        <v>2771</v>
      </c>
      <c r="S146" t="s">
        <v>2684</v>
      </c>
      <c r="T146" t="s">
        <v>2772</v>
      </c>
      <c r="V146" t="s">
        <v>2686</v>
      </c>
      <c r="W146" t="s">
        <v>2773</v>
      </c>
      <c r="Y146" t="s">
        <v>2688</v>
      </c>
      <c r="Z146" t="s">
        <v>2774</v>
      </c>
      <c r="AC146" t="s">
        <v>2775</v>
      </c>
      <c r="AD146" t="s">
        <v>2776</v>
      </c>
    </row>
    <row r="147" spans="1:30">
      <c r="A147" t="s">
        <v>76</v>
      </c>
      <c r="G147" t="s">
        <v>2647</v>
      </c>
      <c r="I147" t="s">
        <v>2777</v>
      </c>
      <c r="M147" t="s">
        <v>979</v>
      </c>
      <c r="N147" t="s">
        <v>2778</v>
      </c>
      <c r="P147" t="s">
        <v>2682</v>
      </c>
      <c r="Q147" t="s">
        <v>2779</v>
      </c>
      <c r="S147" t="s">
        <v>2684</v>
      </c>
      <c r="T147" t="s">
        <v>2780</v>
      </c>
      <c r="V147" t="s">
        <v>2686</v>
      </c>
      <c r="W147" t="s">
        <v>2781</v>
      </c>
      <c r="Y147" t="s">
        <v>2688</v>
      </c>
      <c r="Z147" t="s">
        <v>2782</v>
      </c>
      <c r="AC147" t="s">
        <v>2783</v>
      </c>
      <c r="AD147" t="s">
        <v>2784</v>
      </c>
    </row>
    <row r="148" spans="1:30">
      <c r="A148" t="s">
        <v>76</v>
      </c>
      <c r="G148" t="s">
        <v>2657</v>
      </c>
      <c r="I148" t="s">
        <v>2785</v>
      </c>
      <c r="M148" t="s">
        <v>979</v>
      </c>
      <c r="N148" t="s">
        <v>2786</v>
      </c>
      <c r="P148" t="s">
        <v>2682</v>
      </c>
      <c r="Q148" t="s">
        <v>2787</v>
      </c>
      <c r="S148" t="s">
        <v>2684</v>
      </c>
      <c r="T148" t="s">
        <v>2788</v>
      </c>
      <c r="V148" t="s">
        <v>2686</v>
      </c>
      <c r="W148" t="s">
        <v>2789</v>
      </c>
      <c r="Y148" t="s">
        <v>2688</v>
      </c>
      <c r="Z148" t="s">
        <v>2790</v>
      </c>
      <c r="AC148" t="s">
        <v>2791</v>
      </c>
      <c r="AD148" t="s">
        <v>2792</v>
      </c>
    </row>
    <row r="150" spans="1:30">
      <c r="I150" t="s">
        <v>739</v>
      </c>
      <c r="N150" t="s">
        <v>2793</v>
      </c>
      <c r="Q150" t="s">
        <v>2794</v>
      </c>
      <c r="T150" t="s">
        <v>2795</v>
      </c>
      <c r="W150" t="s">
        <v>2796</v>
      </c>
      <c r="Z150" t="s">
        <v>2797</v>
      </c>
      <c r="AC150" t="s">
        <v>2798</v>
      </c>
      <c r="AD150" t="s">
        <v>2799</v>
      </c>
    </row>
    <row r="151" spans="1:30">
      <c r="D151" t="s">
        <v>740</v>
      </c>
      <c r="I151" t="s">
        <v>741</v>
      </c>
    </row>
    <row r="152" spans="1:30">
      <c r="G152" t="s">
        <v>2800</v>
      </c>
      <c r="I152" t="s">
        <v>2801</v>
      </c>
      <c r="M152" t="s">
        <v>979</v>
      </c>
      <c r="N152" t="s">
        <v>2802</v>
      </c>
      <c r="P152" t="s">
        <v>2682</v>
      </c>
      <c r="Q152" t="s">
        <v>2803</v>
      </c>
      <c r="S152" t="s">
        <v>2684</v>
      </c>
      <c r="T152" t="s">
        <v>2804</v>
      </c>
      <c r="V152" t="s">
        <v>2686</v>
      </c>
      <c r="W152" t="s">
        <v>2805</v>
      </c>
      <c r="Y152" t="s">
        <v>2688</v>
      </c>
      <c r="Z152" t="s">
        <v>2806</v>
      </c>
      <c r="AC152" t="s">
        <v>2807</v>
      </c>
      <c r="AD152" t="s">
        <v>2808</v>
      </c>
    </row>
    <row r="154" spans="1:30">
      <c r="I154" t="s">
        <v>742</v>
      </c>
      <c r="N154" t="s">
        <v>2809</v>
      </c>
      <c r="Q154" t="s">
        <v>2810</v>
      </c>
      <c r="T154" t="s">
        <v>2811</v>
      </c>
      <c r="W154" t="s">
        <v>2812</v>
      </c>
      <c r="Z154" t="s">
        <v>2813</v>
      </c>
      <c r="AC154" t="s">
        <v>2814</v>
      </c>
      <c r="AD154" t="s">
        <v>2815</v>
      </c>
    </row>
    <row r="155" spans="1:30">
      <c r="G155" t="s">
        <v>1030</v>
      </c>
      <c r="I155" t="s">
        <v>743</v>
      </c>
      <c r="M155" t="s">
        <v>1031</v>
      </c>
      <c r="N155" t="s">
        <v>2816</v>
      </c>
      <c r="P155" t="s">
        <v>2817</v>
      </c>
      <c r="Q155" t="s">
        <v>2818</v>
      </c>
      <c r="S155" t="s">
        <v>2819</v>
      </c>
      <c r="T155" t="s">
        <v>2820</v>
      </c>
      <c r="V155" t="s">
        <v>2821</v>
      </c>
      <c r="W155" t="s">
        <v>2822</v>
      </c>
      <c r="Y155" t="s">
        <v>2823</v>
      </c>
      <c r="Z155" t="s">
        <v>2824</v>
      </c>
      <c r="AC155" t="s">
        <v>2825</v>
      </c>
      <c r="AD155" t="s">
        <v>2826</v>
      </c>
    </row>
    <row r="157" spans="1:30">
      <c r="B157" t="s">
        <v>31</v>
      </c>
      <c r="C157" t="s">
        <v>744</v>
      </c>
      <c r="D157" t="s">
        <v>1035</v>
      </c>
      <c r="E157" t="s">
        <v>745</v>
      </c>
      <c r="M157" t="s">
        <v>2827</v>
      </c>
      <c r="P157" t="s">
        <v>2828</v>
      </c>
      <c r="S157" t="s">
        <v>2829</v>
      </c>
      <c r="V157" t="s">
        <v>2830</v>
      </c>
      <c r="Y157" t="s">
        <v>2831</v>
      </c>
      <c r="AD157" t="s">
        <v>2832</v>
      </c>
    </row>
    <row r="158" spans="1:30">
      <c r="B158" t="s">
        <v>31</v>
      </c>
      <c r="D158" t="s">
        <v>746</v>
      </c>
      <c r="M158" t="s">
        <v>2833</v>
      </c>
      <c r="P158" t="s">
        <v>2834</v>
      </c>
      <c r="S158" t="s">
        <v>2835</v>
      </c>
      <c r="V158" t="s">
        <v>2836</v>
      </c>
      <c r="Y158" t="s">
        <v>2837</v>
      </c>
      <c r="AD158" t="s">
        <v>2838</v>
      </c>
    </row>
    <row r="159" spans="1:30">
      <c r="B159" t="s">
        <v>31</v>
      </c>
      <c r="C159" t="s">
        <v>747</v>
      </c>
      <c r="D159" t="s">
        <v>1040</v>
      </c>
      <c r="M159" t="s">
        <v>2839</v>
      </c>
      <c r="P159" t="s">
        <v>2840</v>
      </c>
      <c r="S159" t="s">
        <v>2841</v>
      </c>
      <c r="V159" t="s">
        <v>2842</v>
      </c>
      <c r="Y159" t="s">
        <v>2843</v>
      </c>
      <c r="AD159" t="s">
        <v>2844</v>
      </c>
    </row>
    <row r="160" spans="1:30">
      <c r="B160" t="s">
        <v>31</v>
      </c>
      <c r="C160" t="s">
        <v>748</v>
      </c>
      <c r="D160" t="s">
        <v>1043</v>
      </c>
      <c r="M160" t="s">
        <v>2845</v>
      </c>
      <c r="P160" t="s">
        <v>2846</v>
      </c>
      <c r="S160" t="s">
        <v>2847</v>
      </c>
      <c r="V160" t="s">
        <v>2848</v>
      </c>
      <c r="Y160" t="s">
        <v>2849</v>
      </c>
      <c r="AD160" t="s">
        <v>2850</v>
      </c>
    </row>
    <row r="161" spans="1:30">
      <c r="B161" t="s">
        <v>31</v>
      </c>
      <c r="C161" t="s">
        <v>749</v>
      </c>
      <c r="D161" t="s">
        <v>750</v>
      </c>
      <c r="M161" t="s">
        <v>2851</v>
      </c>
      <c r="P161" t="s">
        <v>2852</v>
      </c>
      <c r="S161" t="s">
        <v>2853</v>
      </c>
      <c r="V161" t="s">
        <v>2854</v>
      </c>
      <c r="Y161" t="s">
        <v>2855</v>
      </c>
      <c r="AD161" t="s">
        <v>2856</v>
      </c>
    </row>
    <row r="162" spans="1:30">
      <c r="B162" t="s">
        <v>31</v>
      </c>
      <c r="C162" t="s">
        <v>751</v>
      </c>
      <c r="D162" t="s">
        <v>752</v>
      </c>
      <c r="M162" t="s">
        <v>2857</v>
      </c>
      <c r="P162" t="s">
        <v>2858</v>
      </c>
      <c r="S162" t="s">
        <v>2859</v>
      </c>
      <c r="V162" t="s">
        <v>2860</v>
      </c>
      <c r="Y162" t="s">
        <v>2861</v>
      </c>
      <c r="AD162" t="s">
        <v>2862</v>
      </c>
    </row>
    <row r="163" spans="1:30">
      <c r="B163" t="s">
        <v>2544</v>
      </c>
      <c r="I163" t="s">
        <v>753</v>
      </c>
      <c r="AD163" t="s">
        <v>2863</v>
      </c>
    </row>
    <row r="164" spans="1:30">
      <c r="B164" t="s">
        <v>2864</v>
      </c>
      <c r="G164" t="s">
        <v>1052</v>
      </c>
      <c r="I164" t="s">
        <v>754</v>
      </c>
    </row>
    <row r="165" spans="1:30">
      <c r="B165" t="s">
        <v>2864</v>
      </c>
      <c r="I165" t="s">
        <v>755</v>
      </c>
      <c r="M165" t="s">
        <v>1053</v>
      </c>
      <c r="N165" t="s">
        <v>2865</v>
      </c>
      <c r="P165" t="s">
        <v>2866</v>
      </c>
      <c r="Q165" t="s">
        <v>2867</v>
      </c>
      <c r="S165" t="s">
        <v>2868</v>
      </c>
      <c r="T165" t="s">
        <v>2869</v>
      </c>
      <c r="V165" t="s">
        <v>2870</v>
      </c>
      <c r="W165" t="s">
        <v>2871</v>
      </c>
      <c r="Y165" t="s">
        <v>2872</v>
      </c>
      <c r="Z165" t="s">
        <v>2873</v>
      </c>
      <c r="AC165" t="s">
        <v>2874</v>
      </c>
      <c r="AD165" t="s">
        <v>2875</v>
      </c>
    </row>
    <row r="166" spans="1:30">
      <c r="B166" t="s">
        <v>2876</v>
      </c>
      <c r="G166" t="s">
        <v>1040</v>
      </c>
      <c r="I166" t="s">
        <v>756</v>
      </c>
      <c r="M166" t="s">
        <v>1053</v>
      </c>
      <c r="N166" t="s">
        <v>2877</v>
      </c>
      <c r="P166" t="s">
        <v>2866</v>
      </c>
      <c r="Q166" t="s">
        <v>2878</v>
      </c>
      <c r="S166" t="s">
        <v>2868</v>
      </c>
      <c r="T166" t="s">
        <v>2879</v>
      </c>
      <c r="V166" t="s">
        <v>2870</v>
      </c>
      <c r="W166" t="s">
        <v>2880</v>
      </c>
      <c r="Y166" t="s">
        <v>2872</v>
      </c>
      <c r="Z166" t="s">
        <v>2881</v>
      </c>
      <c r="AC166" t="s">
        <v>2882</v>
      </c>
      <c r="AD166" t="s">
        <v>2883</v>
      </c>
    </row>
    <row r="167" spans="1:30">
      <c r="B167" t="s">
        <v>2884</v>
      </c>
      <c r="G167" t="s">
        <v>1062</v>
      </c>
      <c r="I167" t="s">
        <v>757</v>
      </c>
      <c r="M167" t="s">
        <v>1053</v>
      </c>
      <c r="N167" t="s">
        <v>2885</v>
      </c>
      <c r="P167" t="s">
        <v>2866</v>
      </c>
      <c r="Q167" t="s">
        <v>2886</v>
      </c>
      <c r="S167" t="s">
        <v>2868</v>
      </c>
      <c r="T167" t="s">
        <v>2887</v>
      </c>
      <c r="V167" t="s">
        <v>2870</v>
      </c>
      <c r="W167" t="s">
        <v>2888</v>
      </c>
      <c r="Y167" t="s">
        <v>2872</v>
      </c>
      <c r="Z167" t="s">
        <v>2889</v>
      </c>
      <c r="AC167" t="s">
        <v>2890</v>
      </c>
      <c r="AD167" t="s">
        <v>2891</v>
      </c>
    </row>
    <row r="168" spans="1:30">
      <c r="B168" t="s">
        <v>2892</v>
      </c>
      <c r="G168" t="s">
        <v>2893</v>
      </c>
      <c r="I168" t="s">
        <v>2894</v>
      </c>
      <c r="M168" t="s">
        <v>1053</v>
      </c>
      <c r="N168" t="s">
        <v>2895</v>
      </c>
      <c r="P168" t="s">
        <v>2866</v>
      </c>
      <c r="Q168" t="s">
        <v>2896</v>
      </c>
      <c r="S168" t="s">
        <v>2868</v>
      </c>
      <c r="T168" t="s">
        <v>2897</v>
      </c>
      <c r="V168" t="s">
        <v>2870</v>
      </c>
      <c r="W168" t="s">
        <v>2898</v>
      </c>
      <c r="Y168" t="s">
        <v>2872</v>
      </c>
      <c r="Z168" t="s">
        <v>2899</v>
      </c>
      <c r="AC168" t="s">
        <v>2900</v>
      </c>
      <c r="AD168" t="s">
        <v>2901</v>
      </c>
    </row>
    <row r="169" spans="1:30">
      <c r="A169" t="s">
        <v>76</v>
      </c>
      <c r="B169" t="s">
        <v>2902</v>
      </c>
      <c r="G169" t="s">
        <v>2598</v>
      </c>
      <c r="I169" t="s">
        <v>2903</v>
      </c>
      <c r="M169" t="s">
        <v>1053</v>
      </c>
      <c r="N169" t="s">
        <v>2904</v>
      </c>
      <c r="P169" t="s">
        <v>2866</v>
      </c>
      <c r="Q169" t="s">
        <v>2905</v>
      </c>
      <c r="S169" t="s">
        <v>2868</v>
      </c>
      <c r="T169" t="s">
        <v>2906</v>
      </c>
      <c r="V169" t="s">
        <v>2870</v>
      </c>
      <c r="W169" t="s">
        <v>2907</v>
      </c>
      <c r="Y169" t="s">
        <v>2872</v>
      </c>
      <c r="Z169" t="s">
        <v>2908</v>
      </c>
      <c r="AC169" t="s">
        <v>2909</v>
      </c>
      <c r="AD169" t="s">
        <v>2910</v>
      </c>
    </row>
    <row r="170" spans="1:30">
      <c r="A170" t="s">
        <v>76</v>
      </c>
      <c r="B170" t="s">
        <v>2911</v>
      </c>
      <c r="G170" t="s">
        <v>2607</v>
      </c>
      <c r="I170" t="s">
        <v>2912</v>
      </c>
      <c r="M170" t="s">
        <v>1053</v>
      </c>
      <c r="N170" t="s">
        <v>2913</v>
      </c>
      <c r="P170" t="s">
        <v>2866</v>
      </c>
      <c r="Q170" t="s">
        <v>2914</v>
      </c>
      <c r="S170" t="s">
        <v>2868</v>
      </c>
      <c r="T170" t="s">
        <v>2915</v>
      </c>
      <c r="V170" t="s">
        <v>2870</v>
      </c>
      <c r="W170" t="s">
        <v>2916</v>
      </c>
      <c r="Y170" t="s">
        <v>2872</v>
      </c>
      <c r="Z170" t="s">
        <v>2917</v>
      </c>
      <c r="AC170" t="s">
        <v>2918</v>
      </c>
      <c r="AD170" t="s">
        <v>2919</v>
      </c>
    </row>
    <row r="171" spans="1:30">
      <c r="B171" t="s">
        <v>493</v>
      </c>
    </row>
    <row r="172" spans="1:30">
      <c r="B172" t="s">
        <v>2920</v>
      </c>
      <c r="G172" t="s">
        <v>1073</v>
      </c>
      <c r="I172" t="s">
        <v>758</v>
      </c>
      <c r="M172" t="s">
        <v>1053</v>
      </c>
      <c r="N172" t="s">
        <v>2921</v>
      </c>
      <c r="P172" t="s">
        <v>2866</v>
      </c>
      <c r="Q172" t="s">
        <v>2922</v>
      </c>
      <c r="S172" t="s">
        <v>2868</v>
      </c>
      <c r="T172" t="s">
        <v>2923</v>
      </c>
      <c r="V172" t="s">
        <v>2870</v>
      </c>
      <c r="W172" t="s">
        <v>2924</v>
      </c>
      <c r="Y172" t="s">
        <v>2872</v>
      </c>
      <c r="Z172" t="s">
        <v>2925</v>
      </c>
      <c r="AC172" t="s">
        <v>2926</v>
      </c>
      <c r="AD172" t="s">
        <v>2927</v>
      </c>
    </row>
    <row r="173" spans="1:30">
      <c r="B173" t="s">
        <v>2928</v>
      </c>
      <c r="AD173" t="s">
        <v>2929</v>
      </c>
    </row>
    <row r="174" spans="1:30">
      <c r="B174" t="s">
        <v>2930</v>
      </c>
    </row>
    <row r="175" spans="1:30">
      <c r="B175" t="s">
        <v>31</v>
      </c>
      <c r="I175" t="s">
        <v>759</v>
      </c>
      <c r="N175" t="s">
        <v>2931</v>
      </c>
      <c r="Q175" t="s">
        <v>2932</v>
      </c>
      <c r="T175" t="s">
        <v>2933</v>
      </c>
      <c r="W175" t="s">
        <v>2934</v>
      </c>
      <c r="Z175" t="s">
        <v>2935</v>
      </c>
      <c r="AC175" t="s">
        <v>2936</v>
      </c>
      <c r="AD175" t="s">
        <v>2937</v>
      </c>
    </row>
    <row r="176" spans="1:30">
      <c r="B176" t="s">
        <v>2541</v>
      </c>
      <c r="I176" t="s">
        <v>2938</v>
      </c>
      <c r="N176" t="s">
        <v>2939</v>
      </c>
      <c r="Q176" t="s">
        <v>2940</v>
      </c>
      <c r="T176" t="s">
        <v>2941</v>
      </c>
      <c r="W176" t="s">
        <v>2942</v>
      </c>
      <c r="Z176" t="s">
        <v>2943</v>
      </c>
      <c r="AC176" t="s">
        <v>2944</v>
      </c>
      <c r="AD176" t="s">
        <v>2945</v>
      </c>
    </row>
    <row r="177" spans="2:30">
      <c r="B177" t="s">
        <v>2946</v>
      </c>
    </row>
    <row r="178" spans="2:30">
      <c r="B178" t="s">
        <v>2947</v>
      </c>
    </row>
    <row r="179" spans="2:30">
      <c r="B179" t="s">
        <v>2947</v>
      </c>
    </row>
    <row r="180" spans="2:30">
      <c r="B180" t="s">
        <v>2948</v>
      </c>
      <c r="I180" t="s">
        <v>760</v>
      </c>
      <c r="AD180" t="s">
        <v>2949</v>
      </c>
    </row>
    <row r="181" spans="2:30">
      <c r="B181" t="s">
        <v>2950</v>
      </c>
      <c r="I181" t="s">
        <v>2951</v>
      </c>
      <c r="N181" t="s">
        <v>2952</v>
      </c>
      <c r="Q181" t="s">
        <v>2953</v>
      </c>
      <c r="T181" t="s">
        <v>2954</v>
      </c>
      <c r="W181" t="s">
        <v>2955</v>
      </c>
      <c r="Z181" t="s">
        <v>2956</v>
      </c>
      <c r="AC181" t="s">
        <v>2957</v>
      </c>
      <c r="AD181" t="s">
        <v>2958</v>
      </c>
    </row>
    <row r="182" spans="2:30">
      <c r="B182" t="s">
        <v>31</v>
      </c>
    </row>
    <row r="183" spans="2:30">
      <c r="B183" t="s">
        <v>31</v>
      </c>
      <c r="I183" t="s">
        <v>761</v>
      </c>
      <c r="N183" t="s">
        <v>2959</v>
      </c>
      <c r="Q183" t="s">
        <v>2960</v>
      </c>
      <c r="T183" t="s">
        <v>2961</v>
      </c>
      <c r="W183" t="s">
        <v>2962</v>
      </c>
      <c r="Z183" t="s">
        <v>2963</v>
      </c>
      <c r="AC183" t="s">
        <v>2964</v>
      </c>
      <c r="AD183" t="s">
        <v>2965</v>
      </c>
    </row>
    <row r="184" spans="2:30">
      <c r="B184" t="s">
        <v>31</v>
      </c>
    </row>
    <row r="185" spans="2:30">
      <c r="B185" t="s">
        <v>31</v>
      </c>
    </row>
    <row r="186" spans="2:30">
      <c r="B186" t="s">
        <v>31</v>
      </c>
    </row>
    <row r="187" spans="2:30">
      <c r="B187" t="s">
        <v>31</v>
      </c>
    </row>
    <row r="188" spans="2:30">
      <c r="B188" t="s">
        <v>31</v>
      </c>
    </row>
    <row r="189" spans="2:30">
      <c r="B189" t="s">
        <v>2966</v>
      </c>
    </row>
    <row r="190" spans="2:30">
      <c r="B190" t="s">
        <v>2967</v>
      </c>
    </row>
    <row r="191" spans="2:30">
      <c r="B191" t="s">
        <v>2968</v>
      </c>
      <c r="N191" t="s">
        <v>762</v>
      </c>
      <c r="Q191" t="s">
        <v>762</v>
      </c>
      <c r="T191" t="s">
        <v>762</v>
      </c>
      <c r="W191" t="s">
        <v>762</v>
      </c>
      <c r="Z191" t="s">
        <v>762</v>
      </c>
    </row>
    <row r="192" spans="2:30">
      <c r="B192" t="s">
        <v>2969</v>
      </c>
      <c r="N192" t="s">
        <v>2970</v>
      </c>
      <c r="Q192" t="s">
        <v>2971</v>
      </c>
      <c r="T192" t="s">
        <v>2972</v>
      </c>
      <c r="W192" t="s">
        <v>2973</v>
      </c>
      <c r="Z192" t="s">
        <v>2974</v>
      </c>
      <c r="AC192" t="s">
        <v>2975</v>
      </c>
    </row>
    <row r="193" spans="2:29">
      <c r="B193" t="s">
        <v>2976</v>
      </c>
    </row>
    <row r="194" spans="2:29">
      <c r="B194" t="s">
        <v>2977</v>
      </c>
      <c r="D194" t="s">
        <v>71</v>
      </c>
      <c r="I194" t="s">
        <v>66</v>
      </c>
      <c r="N194" t="s">
        <v>2978</v>
      </c>
      <c r="Q194" t="s">
        <v>2979</v>
      </c>
      <c r="T194" t="s">
        <v>2980</v>
      </c>
      <c r="W194" t="s">
        <v>2981</v>
      </c>
      <c r="Z194" t="s">
        <v>2982</v>
      </c>
      <c r="AC194" t="s">
        <v>2983</v>
      </c>
    </row>
    <row r="195" spans="2:29">
      <c r="B195" t="s">
        <v>2984</v>
      </c>
      <c r="D195" t="s">
        <v>72</v>
      </c>
      <c r="I195" t="s">
        <v>763</v>
      </c>
      <c r="N195" t="s">
        <v>2985</v>
      </c>
      <c r="Q195" t="s">
        <v>2986</v>
      </c>
      <c r="T195" t="s">
        <v>2987</v>
      </c>
      <c r="W195" t="s">
        <v>2988</v>
      </c>
      <c r="Z195" t="s">
        <v>2989</v>
      </c>
      <c r="AC195" t="s">
        <v>2990</v>
      </c>
    </row>
    <row r="196" spans="2:29">
      <c r="B196" t="s">
        <v>2991</v>
      </c>
      <c r="I196" t="s">
        <v>764</v>
      </c>
      <c r="N196" t="s">
        <v>2992</v>
      </c>
      <c r="Q196" t="s">
        <v>2993</v>
      </c>
      <c r="T196" t="s">
        <v>2994</v>
      </c>
      <c r="W196" t="s">
        <v>2995</v>
      </c>
      <c r="Z196" t="s">
        <v>2996</v>
      </c>
      <c r="AC196" t="s">
        <v>2997</v>
      </c>
    </row>
    <row r="197" spans="2:29">
      <c r="B197" t="s">
        <v>2984</v>
      </c>
    </row>
    <row r="198" spans="2:29">
      <c r="B198" t="s">
        <v>2998</v>
      </c>
      <c r="D198" t="s">
        <v>765</v>
      </c>
      <c r="N198" t="s">
        <v>2999</v>
      </c>
      <c r="Q198" t="s">
        <v>3000</v>
      </c>
      <c r="T198" t="s">
        <v>3001</v>
      </c>
      <c r="W198" t="s">
        <v>3002</v>
      </c>
      <c r="Z198" t="s">
        <v>3003</v>
      </c>
      <c r="AC198" t="s">
        <v>3004</v>
      </c>
    </row>
    <row r="199" spans="2:29">
      <c r="B199" t="s">
        <v>3005</v>
      </c>
      <c r="D199" t="s">
        <v>74</v>
      </c>
      <c r="N199" t="s">
        <v>3006</v>
      </c>
      <c r="Q199" t="s">
        <v>3007</v>
      </c>
      <c r="T199" t="s">
        <v>3008</v>
      </c>
      <c r="W199" t="s">
        <v>3009</v>
      </c>
      <c r="Z199" t="s">
        <v>3010</v>
      </c>
      <c r="AC199" t="s">
        <v>3011</v>
      </c>
    </row>
    <row r="200" spans="2:29">
      <c r="B200" t="s">
        <v>3012</v>
      </c>
      <c r="N200" t="s">
        <v>766</v>
      </c>
      <c r="Q200" t="s">
        <v>766</v>
      </c>
      <c r="T200" t="s">
        <v>766</v>
      </c>
      <c r="W200" t="s">
        <v>766</v>
      </c>
      <c r="Z200" t="s">
        <v>766</v>
      </c>
    </row>
    <row r="201" spans="2:29">
      <c r="B201" t="s">
        <v>3013</v>
      </c>
      <c r="N201" t="s">
        <v>3014</v>
      </c>
      <c r="Q201" t="s">
        <v>3015</v>
      </c>
      <c r="T201" t="s">
        <v>3016</v>
      </c>
      <c r="W201" t="s">
        <v>3017</v>
      </c>
      <c r="Z201" t="s">
        <v>3018</v>
      </c>
      <c r="AC201" t="s">
        <v>3019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35"/>
  <sheetViews>
    <sheetView topLeftCell="B2" zoomScale="130" zoomScaleNormal="130" zoomScaleSheetLayoutView="110" workbookViewId="0"/>
  </sheetViews>
  <sheetFormatPr defaultRowHeight="12.75"/>
  <cols>
    <col min="1" max="1" width="0" style="5" hidden="1" customWidth="1"/>
    <col min="2" max="2" width="3.140625" style="5" customWidth="1"/>
    <col min="3" max="10" width="9.140625" style="5"/>
    <col min="11" max="11" width="0.85546875" style="5" customWidth="1"/>
    <col min="12" max="15" width="9.140625" style="5"/>
    <col min="16" max="16" width="17.140625" style="5" customWidth="1"/>
    <col min="17" max="17" width="17.42578125" style="5" customWidth="1"/>
    <col min="18" max="18" width="15.7109375" style="5" customWidth="1"/>
    <col min="19" max="19" width="0" style="6" hidden="1" customWidth="1"/>
    <col min="20" max="16384" width="9.140625" style="5"/>
  </cols>
  <sheetData>
    <row r="1" spans="1:39" hidden="1">
      <c r="A1" s="5" t="s">
        <v>0</v>
      </c>
      <c r="S1" s="6" t="s">
        <v>31</v>
      </c>
    </row>
    <row r="3" spans="1:39">
      <c r="U3" s="7" t="str">
        <f>B5</f>
        <v>Community Development District</v>
      </c>
    </row>
    <row r="4" spans="1:39" ht="27">
      <c r="B4" s="1396" t="str">
        <f>UPPER(IF(OVERRIDE_DN="",CDD,OVERRIDE_DN))</f>
        <v>HARMONY</v>
      </c>
      <c r="C4" s="1396"/>
      <c r="D4" s="1396"/>
      <c r="E4" s="1396"/>
      <c r="F4" s="1396"/>
      <c r="G4" s="1396"/>
      <c r="H4" s="1396"/>
      <c r="I4" s="1396"/>
      <c r="J4" s="1396"/>
      <c r="K4" s="1396"/>
      <c r="L4" s="1396"/>
      <c r="P4" s="8" t="s">
        <v>32</v>
      </c>
      <c r="R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39" ht="18">
      <c r="B5" s="1397" t="str">
        <f>IF(OVERRIDE_TYPE="",CDD_NAME,OVERRIDE_TYPE)</f>
        <v>Community Development District</v>
      </c>
      <c r="C5" s="1397"/>
      <c r="D5" s="1397"/>
      <c r="E5" s="1397"/>
      <c r="F5" s="1397"/>
      <c r="G5" s="1397"/>
      <c r="H5" s="1397"/>
      <c r="I5" s="1397"/>
      <c r="J5" s="1397"/>
      <c r="K5" s="1397"/>
      <c r="L5" s="1397"/>
      <c r="R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1:39">
      <c r="R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>
      <c r="P7" s="1398" t="s">
        <v>33</v>
      </c>
      <c r="Q7" s="1398"/>
      <c r="R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39" ht="14.25">
      <c r="P8" s="10" t="s">
        <v>34</v>
      </c>
      <c r="Q8" s="11" t="s">
        <v>35</v>
      </c>
      <c r="R8" s="9"/>
      <c r="S8" s="12" t="s">
        <v>34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>
      <c r="P9" s="13" t="s">
        <v>36</v>
      </c>
      <c r="Q9" s="14" t="s">
        <v>37</v>
      </c>
      <c r="R9" s="9"/>
      <c r="S9" s="6" t="s">
        <v>35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ht="6.75" customHeight="1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O10" s="6"/>
      <c r="P10" s="16"/>
      <c r="Q10" s="17"/>
      <c r="R10" s="9"/>
      <c r="S10" s="6" t="s">
        <v>38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 ht="20.25">
      <c r="A11" s="6" t="s">
        <v>39</v>
      </c>
      <c r="B11" s="1399" t="str">
        <f>"Annual Operating and Debt Service Budget"</f>
        <v>Annual Operating and Debt Service Budget</v>
      </c>
      <c r="C11" s="1399"/>
      <c r="D11" s="1399"/>
      <c r="E11" s="1399"/>
      <c r="F11" s="1399"/>
      <c r="G11" s="1399"/>
      <c r="H11" s="1399"/>
      <c r="I11" s="1399"/>
      <c r="J11" s="1399"/>
      <c r="K11" s="1399"/>
      <c r="L11" s="1399"/>
      <c r="O11" s="6"/>
      <c r="P11" s="18"/>
      <c r="Q11" s="17"/>
      <c r="R11" s="9"/>
      <c r="S11" s="6" t="s">
        <v>40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ht="5.25" customHeight="1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O12" s="6"/>
      <c r="P12" s="20"/>
      <c r="Q12" s="17"/>
      <c r="R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6.5">
      <c r="A13" s="6" t="s">
        <v>41</v>
      </c>
      <c r="B13" s="1400" t="str">
        <f>"Fiscal Year "&amp;Budget_Fiscal_Year</f>
        <v>Fiscal Year 2017</v>
      </c>
      <c r="C13" s="1400"/>
      <c r="D13" s="1400"/>
      <c r="E13" s="1400"/>
      <c r="F13" s="1400"/>
      <c r="G13" s="1400"/>
      <c r="H13" s="1400"/>
      <c r="I13" s="1400"/>
      <c r="J13" s="1400"/>
      <c r="K13" s="1400"/>
      <c r="L13" s="1400"/>
      <c r="P13" s="20"/>
      <c r="Q13" s="17"/>
      <c r="R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ht="17.25">
      <c r="B14" s="1401"/>
      <c r="C14" s="1401"/>
      <c r="D14" s="1401"/>
      <c r="E14" s="1401"/>
      <c r="F14" s="1401"/>
      <c r="G14" s="1401"/>
      <c r="H14" s="1401"/>
      <c r="I14" s="1401"/>
      <c r="J14" s="1401"/>
      <c r="K14" s="1401"/>
      <c r="L14" s="1401"/>
      <c r="P14" s="21"/>
      <c r="Q14" s="22"/>
      <c r="R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ht="14.25">
      <c r="B15" s="1402" t="s">
        <v>42</v>
      </c>
      <c r="C15" s="1402"/>
      <c r="D15" s="1402"/>
      <c r="E15" s="1402"/>
      <c r="F15" s="1402"/>
      <c r="G15" s="1402"/>
      <c r="H15" s="1402"/>
      <c r="I15" s="1402"/>
      <c r="J15" s="1402"/>
      <c r="K15" s="1402"/>
      <c r="L15" s="1402"/>
      <c r="R15" s="9"/>
      <c r="S15" s="12" t="s">
        <v>36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ht="13.5">
      <c r="B16" s="1403" t="s">
        <v>43</v>
      </c>
      <c r="C16" s="1403"/>
      <c r="D16" s="1403"/>
      <c r="E16" s="1403"/>
      <c r="F16" s="1403"/>
      <c r="G16" s="1403"/>
      <c r="H16" s="1403"/>
      <c r="I16" s="1403"/>
      <c r="J16" s="1403"/>
      <c r="K16" s="1403"/>
      <c r="L16" s="1403"/>
      <c r="P16" s="1398" t="s">
        <v>44</v>
      </c>
      <c r="Q16" s="1398"/>
      <c r="R16" s="9"/>
      <c r="S16" s="6" t="s">
        <v>37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2:39" ht="1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P17" s="1404"/>
      <c r="Q17" s="1404"/>
      <c r="R17" s="9"/>
      <c r="S17" s="6" t="s">
        <v>45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2:39" ht="1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P18" s="1404"/>
      <c r="Q18" s="1404"/>
      <c r="R18" s="9"/>
      <c r="S18" s="6" t="s">
        <v>46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2:39" ht="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R19" s="9"/>
      <c r="S19" s="6" t="s">
        <v>47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2:39" ht="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R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2:39" ht="14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P21" s="6"/>
      <c r="R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2:39" ht="15" customHeight="1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P22" s="26"/>
      <c r="Q22" s="27">
        <v>10</v>
      </c>
      <c r="R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2:39" ht="15" customHeight="1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P23" s="1405" t="s">
        <v>48</v>
      </c>
      <c r="Q23" s="1405"/>
      <c r="R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2:39" ht="15" customHeight="1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P24" s="28" t="s">
        <v>49</v>
      </c>
      <c r="Q24" s="29" t="s">
        <v>50</v>
      </c>
      <c r="R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2:39" ht="15" customHeight="1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P25" s="30">
        <v>0.95</v>
      </c>
      <c r="Q25" s="31">
        <f t="shared" ref="Q25:Q32" si="0">ROUND(($Q$22/P25),0)</f>
        <v>11</v>
      </c>
      <c r="R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2:39" ht="15" customHeight="1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P26" s="30">
        <f t="shared" ref="P26:P31" si="1">P25-5%</f>
        <v>0.89999999999999991</v>
      </c>
      <c r="Q26" s="31">
        <f t="shared" si="0"/>
        <v>11</v>
      </c>
      <c r="R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2:39" ht="1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P27" s="30">
        <f t="shared" si="1"/>
        <v>0.84999999999999987</v>
      </c>
      <c r="Q27" s="31">
        <f t="shared" si="0"/>
        <v>12</v>
      </c>
      <c r="R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2:39" ht="1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P28" s="30">
        <f t="shared" si="1"/>
        <v>0.79999999999999982</v>
      </c>
      <c r="Q28" s="31">
        <f t="shared" si="0"/>
        <v>13</v>
      </c>
      <c r="R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2:39" ht="1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P29" s="30">
        <f t="shared" si="1"/>
        <v>0.74999999999999978</v>
      </c>
      <c r="Q29" s="31">
        <f t="shared" si="0"/>
        <v>13</v>
      </c>
      <c r="R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2:39" ht="1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P30" s="30">
        <f t="shared" si="1"/>
        <v>0.69999999999999973</v>
      </c>
      <c r="Q30" s="31">
        <f t="shared" si="0"/>
        <v>14</v>
      </c>
      <c r="R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2:39" ht="1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P31" s="30">
        <f t="shared" si="1"/>
        <v>0.64999999999999969</v>
      </c>
      <c r="Q31" s="31">
        <f t="shared" si="0"/>
        <v>15</v>
      </c>
      <c r="R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2:39" ht="1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P32" s="32">
        <v>0.6</v>
      </c>
      <c r="Q32" s="33">
        <f t="shared" si="0"/>
        <v>17</v>
      </c>
      <c r="R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2:39" ht="1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R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2:39" ht="1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2:39">
      <c r="B35" s="1406" t="s">
        <v>51</v>
      </c>
      <c r="C35" s="1406"/>
      <c r="D35" s="1406"/>
      <c r="E35" s="1406"/>
      <c r="F35" s="1406"/>
      <c r="G35" s="1406"/>
      <c r="H35" s="1406"/>
      <c r="I35" s="1406"/>
      <c r="J35" s="1406"/>
      <c r="K35" s="1406"/>
      <c r="L35" s="1406"/>
    </row>
  </sheetData>
  <sheetProtection selectLockedCells="1" selectUnlockedCells="1"/>
  <mergeCells count="13">
    <mergeCell ref="B35:L35"/>
    <mergeCell ref="B15:L15"/>
    <mergeCell ref="B16:L16"/>
    <mergeCell ref="P16:Q16"/>
    <mergeCell ref="P17:Q17"/>
    <mergeCell ref="P18:Q18"/>
    <mergeCell ref="P23:Q23"/>
    <mergeCell ref="B4:L4"/>
    <mergeCell ref="B5:L5"/>
    <mergeCell ref="P7:Q7"/>
    <mergeCell ref="B11:L11"/>
    <mergeCell ref="B13:L13"/>
    <mergeCell ref="B14:L14"/>
  </mergeCells>
  <dataValidations count="2">
    <dataValidation type="list" allowBlank="1" showErrorMessage="1" sqref="Q9">
      <formula1>$S$16:$S$19</formula1>
      <formula2>0</formula2>
    </dataValidation>
    <dataValidation type="list" allowBlank="1" showErrorMessage="1" sqref="Q8">
      <formula1>$S$9:$S$11</formula1>
      <formula2>0</formula2>
    </dataValidation>
  </dataValidations>
  <printOptions horizontalCentered="1"/>
  <pageMargins left="0.75" right="0.75" top="2.2999999999999998" bottom="0.85" header="0.51180555555555551" footer="0.51180555555555551"/>
  <pageSetup firstPageNumber="0" orientation="portrait" horizontalDpi="300" verticalDpi="300"/>
  <headerFooter alignWithMargins="0"/>
  <drawing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42"/>
  <sheetViews>
    <sheetView workbookViewId="0"/>
  </sheetViews>
  <sheetFormatPr defaultRowHeight="12.75"/>
  <sheetData>
    <row r="1" spans="1:5">
      <c r="A1" t="s">
        <v>3020</v>
      </c>
      <c r="B1" t="s">
        <v>53</v>
      </c>
      <c r="C1" t="s">
        <v>31</v>
      </c>
    </row>
    <row r="2" spans="1:5">
      <c r="A2" t="s">
        <v>53</v>
      </c>
      <c r="B2" t="s">
        <v>54</v>
      </c>
      <c r="C2" t="s">
        <v>55</v>
      </c>
    </row>
    <row r="3" spans="1:5">
      <c r="A3" t="s">
        <v>31</v>
      </c>
      <c r="C3" t="s">
        <v>1126</v>
      </c>
    </row>
    <row r="4" spans="1:5">
      <c r="A4" t="s">
        <v>31</v>
      </c>
      <c r="C4" t="s">
        <v>1127</v>
      </c>
      <c r="E4" t="s">
        <v>58</v>
      </c>
    </row>
    <row r="5" spans="1:5">
      <c r="A5" t="s">
        <v>31</v>
      </c>
      <c r="C5" t="s">
        <v>59</v>
      </c>
    </row>
    <row r="6" spans="1:5">
      <c r="A6" t="s">
        <v>31</v>
      </c>
      <c r="C6" t="s">
        <v>1128</v>
      </c>
    </row>
    <row r="7" spans="1:5">
      <c r="A7" t="s">
        <v>31</v>
      </c>
      <c r="C7" t="s">
        <v>1129</v>
      </c>
    </row>
    <row r="8" spans="1:5">
      <c r="A8" t="s">
        <v>31</v>
      </c>
      <c r="C8" t="s">
        <v>1130</v>
      </c>
    </row>
    <row r="9" spans="1:5">
      <c r="A9" t="s">
        <v>31</v>
      </c>
      <c r="C9" t="s">
        <v>1131</v>
      </c>
    </row>
    <row r="10" spans="1:5">
      <c r="A10" t="s">
        <v>31</v>
      </c>
    </row>
    <row r="11" spans="1:5">
      <c r="A11" t="s">
        <v>31</v>
      </c>
    </row>
    <row r="12" spans="1:5">
      <c r="A12" t="s">
        <v>62</v>
      </c>
    </row>
    <row r="13" spans="1:5">
      <c r="A13" t="s">
        <v>62</v>
      </c>
    </row>
    <row r="14" spans="1:5">
      <c r="A14" t="s">
        <v>62</v>
      </c>
    </row>
    <row r="15" spans="1:5">
      <c r="A15" t="s">
        <v>62</v>
      </c>
    </row>
    <row r="16" spans="1:5">
      <c r="A16" t="s">
        <v>63</v>
      </c>
    </row>
    <row r="18" spans="1:9">
      <c r="I18" t="s">
        <v>64</v>
      </c>
    </row>
    <row r="19" spans="1:9">
      <c r="D19" t="s">
        <v>65</v>
      </c>
      <c r="E19" t="s">
        <v>66</v>
      </c>
      <c r="F19" t="s">
        <v>67</v>
      </c>
      <c r="G19" t="s">
        <v>68</v>
      </c>
      <c r="H19" t="s">
        <v>69</v>
      </c>
      <c r="I19" t="s">
        <v>70</v>
      </c>
    </row>
    <row r="21" spans="1:9">
      <c r="E21" t="s">
        <v>71</v>
      </c>
      <c r="F21" t="s">
        <v>72</v>
      </c>
      <c r="G21" t="s">
        <v>73</v>
      </c>
      <c r="H21" t="s">
        <v>74</v>
      </c>
    </row>
    <row r="22" spans="1:9">
      <c r="D22" t="s">
        <v>1132</v>
      </c>
      <c r="E22" t="s">
        <v>1133</v>
      </c>
      <c r="F22" t="s">
        <v>1134</v>
      </c>
      <c r="G22" t="s">
        <v>1135</v>
      </c>
      <c r="H22" t="s">
        <v>1136</v>
      </c>
      <c r="I22" t="s">
        <v>1137</v>
      </c>
    </row>
    <row r="23" spans="1:9">
      <c r="A23" t="s">
        <v>76</v>
      </c>
      <c r="D23" t="s">
        <v>1965</v>
      </c>
      <c r="E23" t="s">
        <v>3021</v>
      </c>
      <c r="F23" t="s">
        <v>3022</v>
      </c>
      <c r="G23" t="s">
        <v>3023</v>
      </c>
      <c r="H23" t="s">
        <v>3024</v>
      </c>
      <c r="I23" t="s">
        <v>3025</v>
      </c>
    </row>
    <row r="24" spans="1:9">
      <c r="A24" t="s">
        <v>76</v>
      </c>
      <c r="D24" t="s">
        <v>1967</v>
      </c>
      <c r="E24" t="s">
        <v>3026</v>
      </c>
      <c r="F24" t="s">
        <v>3027</v>
      </c>
      <c r="G24" t="s">
        <v>3028</v>
      </c>
      <c r="H24" t="s">
        <v>3029</v>
      </c>
      <c r="I24" t="s">
        <v>3030</v>
      </c>
    </row>
    <row r="25" spans="1:9">
      <c r="A25" t="s">
        <v>76</v>
      </c>
      <c r="D25" t="s">
        <v>1969</v>
      </c>
      <c r="E25" t="s">
        <v>3031</v>
      </c>
      <c r="F25" t="s">
        <v>3032</v>
      </c>
      <c r="G25" t="s">
        <v>3033</v>
      </c>
      <c r="H25" t="s">
        <v>3034</v>
      </c>
      <c r="I25" t="s">
        <v>3035</v>
      </c>
    </row>
    <row r="26" spans="1:9">
      <c r="A26" t="s">
        <v>76</v>
      </c>
      <c r="D26" t="s">
        <v>1971</v>
      </c>
      <c r="E26" t="s">
        <v>3036</v>
      </c>
      <c r="F26" t="s">
        <v>3037</v>
      </c>
      <c r="G26" t="s">
        <v>3038</v>
      </c>
      <c r="H26" t="s">
        <v>3039</v>
      </c>
      <c r="I26" t="s">
        <v>3040</v>
      </c>
    </row>
    <row r="27" spans="1:9">
      <c r="A27" t="s">
        <v>76</v>
      </c>
      <c r="D27" t="s">
        <v>3041</v>
      </c>
      <c r="E27" t="s">
        <v>3042</v>
      </c>
      <c r="F27" t="s">
        <v>3043</v>
      </c>
      <c r="G27" t="s">
        <v>3044</v>
      </c>
      <c r="H27" t="s">
        <v>3045</v>
      </c>
      <c r="I27" t="s">
        <v>3046</v>
      </c>
    </row>
    <row r="29" spans="1:9">
      <c r="I29" t="s">
        <v>3047</v>
      </c>
    </row>
    <row r="30" spans="1:9">
      <c r="I30" t="s">
        <v>3048</v>
      </c>
    </row>
    <row r="31" spans="1:9">
      <c r="I31" t="s">
        <v>3049</v>
      </c>
    </row>
    <row r="32" spans="1:9">
      <c r="I32" t="s">
        <v>3050</v>
      </c>
    </row>
    <row r="37" spans="6:6">
      <c r="F37" t="s">
        <v>1142</v>
      </c>
    </row>
    <row r="39" spans="6:6">
      <c r="F39" t="s">
        <v>3051</v>
      </c>
    </row>
    <row r="40" spans="6:6">
      <c r="F40" t="s">
        <v>3052</v>
      </c>
    </row>
    <row r="41" spans="6:6">
      <c r="F41" t="s">
        <v>3053</v>
      </c>
    </row>
    <row r="42" spans="6:6">
      <c r="F42" t="s">
        <v>3054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18"/>
  <sheetViews>
    <sheetView workbookViewId="0"/>
  </sheetViews>
  <sheetFormatPr defaultRowHeight="12.75"/>
  <sheetData>
    <row r="1" spans="1:10">
      <c r="A1" t="s">
        <v>3055</v>
      </c>
      <c r="C1" t="s">
        <v>81</v>
      </c>
      <c r="D1" t="s">
        <v>82</v>
      </c>
      <c r="E1" t="s">
        <v>83</v>
      </c>
    </row>
    <row r="3" spans="1:10">
      <c r="A3" t="s">
        <v>84</v>
      </c>
      <c r="C3" t="s">
        <v>85</v>
      </c>
      <c r="D3" t="s">
        <v>1148</v>
      </c>
      <c r="E3" t="s">
        <v>1149</v>
      </c>
    </row>
    <row r="4" spans="1:10">
      <c r="A4" t="s">
        <v>84</v>
      </c>
      <c r="C4" t="s">
        <v>86</v>
      </c>
      <c r="D4" t="s">
        <v>1150</v>
      </c>
    </row>
    <row r="5" spans="1:10">
      <c r="A5" t="s">
        <v>84</v>
      </c>
      <c r="C5" t="s">
        <v>87</v>
      </c>
      <c r="D5" t="s">
        <v>1151</v>
      </c>
    </row>
    <row r="6" spans="1:10">
      <c r="A6" t="s">
        <v>84</v>
      </c>
      <c r="C6" t="s">
        <v>65</v>
      </c>
      <c r="D6" t="s">
        <v>60</v>
      </c>
      <c r="E6" t="s">
        <v>1152</v>
      </c>
    </row>
    <row r="7" spans="1:10">
      <c r="A7" t="s">
        <v>84</v>
      </c>
      <c r="C7" t="s">
        <v>88</v>
      </c>
      <c r="D7" t="s">
        <v>1153</v>
      </c>
      <c r="E7" t="s">
        <v>1154</v>
      </c>
      <c r="F7" t="s">
        <v>830</v>
      </c>
      <c r="G7" t="s">
        <v>1155</v>
      </c>
      <c r="H7" t="s">
        <v>1156</v>
      </c>
      <c r="I7" t="s">
        <v>1157</v>
      </c>
      <c r="J7" t="s">
        <v>111</v>
      </c>
    </row>
    <row r="8" spans="1:10">
      <c r="A8" t="s">
        <v>84</v>
      </c>
      <c r="C8" t="s">
        <v>89</v>
      </c>
      <c r="D8" t="s">
        <v>1153</v>
      </c>
      <c r="E8" t="s">
        <v>1158</v>
      </c>
      <c r="F8" t="s">
        <v>830</v>
      </c>
      <c r="G8" t="s">
        <v>1155</v>
      </c>
      <c r="H8" t="s">
        <v>1156</v>
      </c>
    </row>
    <row r="9" spans="1:10">
      <c r="A9" t="s">
        <v>84</v>
      </c>
      <c r="C9" t="s">
        <v>90</v>
      </c>
      <c r="D9" t="s">
        <v>91</v>
      </c>
      <c r="E9" t="s">
        <v>1159</v>
      </c>
      <c r="F9" t="s">
        <v>91</v>
      </c>
      <c r="G9" t="s">
        <v>92</v>
      </c>
    </row>
    <row r="10" spans="1:10">
      <c r="A10" t="s">
        <v>84</v>
      </c>
      <c r="C10" t="s">
        <v>93</v>
      </c>
      <c r="D10" t="s">
        <v>91</v>
      </c>
      <c r="E10" t="s">
        <v>1160</v>
      </c>
      <c r="F10" t="s">
        <v>91</v>
      </c>
      <c r="G10" t="s">
        <v>92</v>
      </c>
    </row>
    <row r="11" spans="1:10">
      <c r="A11" t="s">
        <v>84</v>
      </c>
      <c r="C11" t="s">
        <v>94</v>
      </c>
      <c r="D11" t="s">
        <v>92</v>
      </c>
      <c r="E11" t="s">
        <v>1161</v>
      </c>
      <c r="F11" t="s">
        <v>91</v>
      </c>
      <c r="G11" t="s">
        <v>92</v>
      </c>
    </row>
    <row r="12" spans="1:10">
      <c r="A12" t="s">
        <v>84</v>
      </c>
      <c r="C12" t="s">
        <v>95</v>
      </c>
      <c r="D12" t="s">
        <v>92</v>
      </c>
      <c r="E12" t="s">
        <v>1162</v>
      </c>
      <c r="F12" t="s">
        <v>91</v>
      </c>
      <c r="G12" t="s">
        <v>92</v>
      </c>
    </row>
    <row r="13" spans="1:10">
      <c r="A13" t="s">
        <v>84</v>
      </c>
      <c r="C13" t="s">
        <v>96</v>
      </c>
      <c r="D13" t="s">
        <v>92</v>
      </c>
      <c r="E13" t="s">
        <v>1163</v>
      </c>
      <c r="F13" t="s">
        <v>91</v>
      </c>
      <c r="G13" t="s">
        <v>92</v>
      </c>
    </row>
    <row r="14" spans="1:10">
      <c r="A14" t="s">
        <v>84</v>
      </c>
      <c r="C14" t="s">
        <v>97</v>
      </c>
      <c r="D14" t="s">
        <v>92</v>
      </c>
      <c r="E14" t="s">
        <v>1164</v>
      </c>
      <c r="F14" t="s">
        <v>91</v>
      </c>
      <c r="G14" t="s">
        <v>92</v>
      </c>
    </row>
    <row r="15" spans="1:10">
      <c r="A15" t="s">
        <v>84</v>
      </c>
      <c r="C15" t="s">
        <v>98</v>
      </c>
      <c r="D15" t="s">
        <v>99</v>
      </c>
      <c r="E15" t="s">
        <v>1165</v>
      </c>
    </row>
    <row r="16" spans="1:10">
      <c r="A16" t="s">
        <v>84</v>
      </c>
      <c r="C16" t="s">
        <v>100</v>
      </c>
      <c r="D16" t="s">
        <v>92</v>
      </c>
      <c r="E16" t="s">
        <v>1166</v>
      </c>
      <c r="F16" t="s">
        <v>91</v>
      </c>
      <c r="G16" t="s">
        <v>92</v>
      </c>
    </row>
    <row r="17" spans="1:7">
      <c r="A17" t="s">
        <v>84</v>
      </c>
      <c r="C17" t="s">
        <v>101</v>
      </c>
      <c r="D17" t="s">
        <v>92</v>
      </c>
      <c r="E17" t="s">
        <v>1167</v>
      </c>
      <c r="F17" t="s">
        <v>91</v>
      </c>
      <c r="G17" t="s">
        <v>92</v>
      </c>
    </row>
    <row r="18" spans="1:7">
      <c r="A18" t="s">
        <v>84</v>
      </c>
      <c r="C18" t="s">
        <v>102</v>
      </c>
      <c r="D18" t="s">
        <v>92</v>
      </c>
      <c r="E18" t="s">
        <v>1168</v>
      </c>
      <c r="F18" t="s">
        <v>91</v>
      </c>
      <c r="G18" t="s">
        <v>92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BF299"/>
  <sheetViews>
    <sheetView workbookViewId="0"/>
  </sheetViews>
  <sheetFormatPr defaultRowHeight="12.75"/>
  <sheetData>
    <row r="1" spans="1:58">
      <c r="A1" t="s">
        <v>3056</v>
      </c>
      <c r="B1" t="s">
        <v>53</v>
      </c>
      <c r="C1" t="s">
        <v>31</v>
      </c>
      <c r="D1" t="s">
        <v>31</v>
      </c>
      <c r="E1" t="s">
        <v>31</v>
      </c>
      <c r="F1" t="s">
        <v>31</v>
      </c>
      <c r="G1" t="s">
        <v>234</v>
      </c>
      <c r="H1" t="s">
        <v>31</v>
      </c>
      <c r="I1" t="s">
        <v>31</v>
      </c>
      <c r="J1" t="s">
        <v>31</v>
      </c>
      <c r="K1" t="s">
        <v>31</v>
      </c>
      <c r="L1" t="s">
        <v>235</v>
      </c>
      <c r="M1" t="s">
        <v>235</v>
      </c>
      <c r="N1" t="s">
        <v>235</v>
      </c>
      <c r="O1" t="s">
        <v>235</v>
      </c>
      <c r="P1" t="s">
        <v>1170</v>
      </c>
      <c r="Q1" t="s">
        <v>1171</v>
      </c>
      <c r="R1" t="s">
        <v>62</v>
      </c>
      <c r="S1" t="s">
        <v>31</v>
      </c>
      <c r="T1" t="s">
        <v>31</v>
      </c>
      <c r="V1" t="s">
        <v>1172</v>
      </c>
      <c r="W1" t="s">
        <v>1173</v>
      </c>
      <c r="X1" t="s">
        <v>1174</v>
      </c>
      <c r="Y1" t="s">
        <v>1175</v>
      </c>
      <c r="Z1" t="s">
        <v>1176</v>
      </c>
      <c r="AA1" t="s">
        <v>1177</v>
      </c>
      <c r="AB1" t="s">
        <v>1178</v>
      </c>
      <c r="AC1" t="s">
        <v>1179</v>
      </c>
      <c r="AD1" t="s">
        <v>1180</v>
      </c>
      <c r="AE1" t="s">
        <v>1181</v>
      </c>
      <c r="AF1" t="s">
        <v>1182</v>
      </c>
      <c r="AG1" t="s">
        <v>1183</v>
      </c>
      <c r="AH1" t="s">
        <v>1184</v>
      </c>
      <c r="AI1" t="s">
        <v>1185</v>
      </c>
      <c r="AJ1" t="s">
        <v>1186</v>
      </c>
      <c r="AK1" t="s">
        <v>1185</v>
      </c>
      <c r="AL1" t="s">
        <v>62</v>
      </c>
      <c r="AM1" t="s">
        <v>1187</v>
      </c>
      <c r="AN1" t="s">
        <v>31</v>
      </c>
      <c r="AO1" t="s">
        <v>31</v>
      </c>
      <c r="AP1" t="s">
        <v>236</v>
      </c>
      <c r="AQ1" t="s">
        <v>31</v>
      </c>
      <c r="AS1" t="s">
        <v>236</v>
      </c>
      <c r="AT1" t="s">
        <v>237</v>
      </c>
      <c r="AU1" t="s">
        <v>237</v>
      </c>
      <c r="AV1" t="s">
        <v>237</v>
      </c>
      <c r="AW1" t="s">
        <v>237</v>
      </c>
      <c r="AX1" t="s">
        <v>237</v>
      </c>
      <c r="AY1" t="s">
        <v>237</v>
      </c>
      <c r="AZ1" t="s">
        <v>237</v>
      </c>
      <c r="BA1" t="s">
        <v>237</v>
      </c>
      <c r="BB1" t="s">
        <v>237</v>
      </c>
      <c r="BC1" t="s">
        <v>237</v>
      </c>
      <c r="BD1" t="s">
        <v>237</v>
      </c>
      <c r="BE1" t="s">
        <v>237</v>
      </c>
      <c r="BF1" t="s">
        <v>237</v>
      </c>
    </row>
    <row r="2" spans="1:58">
      <c r="B2" t="s">
        <v>3057</v>
      </c>
      <c r="C2" t="s">
        <v>1189</v>
      </c>
      <c r="T2" t="s">
        <v>1190</v>
      </c>
      <c r="V2" t="s">
        <v>1191</v>
      </c>
      <c r="X2" t="s">
        <v>1192</v>
      </c>
      <c r="Z2" t="s">
        <v>1193</v>
      </c>
      <c r="AB2" t="s">
        <v>1194</v>
      </c>
      <c r="AD2" t="s">
        <v>1195</v>
      </c>
      <c r="AF2" t="s">
        <v>1196</v>
      </c>
      <c r="AH2" t="s">
        <v>1190</v>
      </c>
      <c r="AJ2" t="s">
        <v>1197</v>
      </c>
    </row>
    <row r="3" spans="1:58">
      <c r="B3" t="s">
        <v>31</v>
      </c>
      <c r="C3" t="s">
        <v>1198</v>
      </c>
      <c r="H3" t="s">
        <v>238</v>
      </c>
      <c r="I3" t="s">
        <v>239</v>
      </c>
      <c r="J3" t="s">
        <v>240</v>
      </c>
      <c r="T3" t="s">
        <v>1199</v>
      </c>
      <c r="V3" t="s">
        <v>1200</v>
      </c>
      <c r="X3" t="s">
        <v>1201</v>
      </c>
      <c r="Z3" t="s">
        <v>1202</v>
      </c>
      <c r="AB3" t="s">
        <v>1203</v>
      </c>
      <c r="AD3" t="s">
        <v>1204</v>
      </c>
      <c r="AF3" t="s">
        <v>1205</v>
      </c>
      <c r="AH3" t="s">
        <v>1199</v>
      </c>
      <c r="AJ3" t="s">
        <v>1206</v>
      </c>
      <c r="AN3" t="s">
        <v>1207</v>
      </c>
      <c r="AP3" t="s">
        <v>1207</v>
      </c>
    </row>
    <row r="4" spans="1:58">
      <c r="B4" t="s">
        <v>31</v>
      </c>
      <c r="E4" t="s">
        <v>248</v>
      </c>
      <c r="F4" t="s">
        <v>1208</v>
      </c>
      <c r="H4" t="s">
        <v>1209</v>
      </c>
      <c r="I4" t="s">
        <v>1210</v>
      </c>
      <c r="J4" t="s">
        <v>1211</v>
      </c>
      <c r="T4" t="s">
        <v>251</v>
      </c>
      <c r="V4" t="s">
        <v>251</v>
      </c>
      <c r="X4" t="s">
        <v>251</v>
      </c>
      <c r="Z4" t="s">
        <v>251</v>
      </c>
      <c r="AB4" t="s">
        <v>251</v>
      </c>
      <c r="AD4" t="s">
        <v>252</v>
      </c>
      <c r="AF4" t="s">
        <v>252</v>
      </c>
      <c r="AH4" t="s">
        <v>251</v>
      </c>
      <c r="AJ4" t="s">
        <v>252</v>
      </c>
      <c r="AL4" t="s">
        <v>252</v>
      </c>
      <c r="AN4" t="s">
        <v>252</v>
      </c>
      <c r="AP4" t="s">
        <v>252</v>
      </c>
    </row>
    <row r="5" spans="1:58">
      <c r="B5" t="s">
        <v>31</v>
      </c>
      <c r="C5" t="s">
        <v>253</v>
      </c>
      <c r="D5" t="s">
        <v>74</v>
      </c>
      <c r="E5" t="s">
        <v>87</v>
      </c>
      <c r="F5" t="s">
        <v>803</v>
      </c>
      <c r="H5" t="s">
        <v>1212</v>
      </c>
      <c r="I5" t="s">
        <v>1213</v>
      </c>
      <c r="J5" t="s">
        <v>1214</v>
      </c>
      <c r="T5" t="s">
        <v>1215</v>
      </c>
      <c r="V5" t="s">
        <v>1216</v>
      </c>
      <c r="X5" t="s">
        <v>1217</v>
      </c>
      <c r="Z5" t="s">
        <v>1218</v>
      </c>
      <c r="AB5" t="s">
        <v>1219</v>
      </c>
      <c r="AD5" t="s">
        <v>1220</v>
      </c>
      <c r="AF5" t="s">
        <v>1221</v>
      </c>
      <c r="AH5" t="s">
        <v>1215</v>
      </c>
      <c r="AJ5" t="s">
        <v>1222</v>
      </c>
      <c r="AN5" t="s">
        <v>1223</v>
      </c>
      <c r="AP5" t="s">
        <v>1223</v>
      </c>
    </row>
    <row r="6" spans="1:58">
      <c r="B6" t="s">
        <v>31</v>
      </c>
      <c r="C6" t="s">
        <v>255</v>
      </c>
      <c r="D6" t="s">
        <v>807</v>
      </c>
      <c r="E6" t="s">
        <v>256</v>
      </c>
      <c r="F6" t="s">
        <v>1224</v>
      </c>
      <c r="H6" t="s">
        <v>1225</v>
      </c>
      <c r="I6" t="s">
        <v>1226</v>
      </c>
      <c r="J6" t="s">
        <v>1227</v>
      </c>
      <c r="AD6" t="s">
        <v>99</v>
      </c>
      <c r="AF6" t="s">
        <v>99</v>
      </c>
      <c r="AJ6" t="s">
        <v>99</v>
      </c>
      <c r="AN6" t="s">
        <v>99</v>
      </c>
      <c r="AP6" t="s">
        <v>99</v>
      </c>
    </row>
    <row r="7" spans="1:58">
      <c r="B7" t="s">
        <v>31</v>
      </c>
      <c r="C7" t="s">
        <v>65</v>
      </c>
      <c r="D7" t="s">
        <v>817</v>
      </c>
      <c r="E7" t="s">
        <v>258</v>
      </c>
      <c r="F7" t="s">
        <v>1228</v>
      </c>
      <c r="H7" t="s">
        <v>1229</v>
      </c>
      <c r="I7" t="s">
        <v>1230</v>
      </c>
      <c r="J7" t="s">
        <v>1207</v>
      </c>
      <c r="AD7" t="s">
        <v>260</v>
      </c>
      <c r="AF7" t="s">
        <v>260</v>
      </c>
      <c r="AN7" t="s">
        <v>260</v>
      </c>
      <c r="AP7" t="s">
        <v>260</v>
      </c>
    </row>
    <row r="8" spans="1:58">
      <c r="B8" t="s">
        <v>31</v>
      </c>
      <c r="C8" t="s">
        <v>261</v>
      </c>
      <c r="D8" t="s">
        <v>99</v>
      </c>
      <c r="E8" t="s">
        <v>262</v>
      </c>
      <c r="F8" t="s">
        <v>1231</v>
      </c>
      <c r="H8" t="s">
        <v>1232</v>
      </c>
      <c r="I8" t="s">
        <v>1233</v>
      </c>
      <c r="AD8" t="s">
        <v>1234</v>
      </c>
      <c r="AF8" t="s">
        <v>1235</v>
      </c>
    </row>
    <row r="9" spans="1:58">
      <c r="B9" t="s">
        <v>31</v>
      </c>
      <c r="C9" t="s">
        <v>263</v>
      </c>
      <c r="D9" t="s">
        <v>59</v>
      </c>
      <c r="E9" t="s">
        <v>264</v>
      </c>
      <c r="F9" t="s">
        <v>1236</v>
      </c>
      <c r="H9" t="s">
        <v>1237</v>
      </c>
      <c r="I9" t="s">
        <v>1238</v>
      </c>
    </row>
    <row r="10" spans="1:58">
      <c r="B10" t="s">
        <v>31</v>
      </c>
      <c r="C10" t="s">
        <v>265</v>
      </c>
      <c r="D10" t="s">
        <v>1239</v>
      </c>
      <c r="E10" t="s">
        <v>266</v>
      </c>
      <c r="F10" t="s">
        <v>1240</v>
      </c>
      <c r="H10" t="s">
        <v>1241</v>
      </c>
      <c r="I10" t="s">
        <v>1242</v>
      </c>
    </row>
    <row r="11" spans="1:58">
      <c r="B11" t="s">
        <v>31</v>
      </c>
      <c r="C11" t="s">
        <v>267</v>
      </c>
      <c r="D11" t="s">
        <v>1243</v>
      </c>
      <c r="E11" t="s">
        <v>268</v>
      </c>
      <c r="F11" t="s">
        <v>1244</v>
      </c>
      <c r="H11" t="s">
        <v>1245</v>
      </c>
      <c r="I11" t="s">
        <v>1246</v>
      </c>
    </row>
    <row r="12" spans="1:58">
      <c r="B12" t="s">
        <v>31</v>
      </c>
      <c r="E12" t="s">
        <v>269</v>
      </c>
      <c r="F12" t="s">
        <v>1247</v>
      </c>
      <c r="J12" t="s">
        <v>106</v>
      </c>
    </row>
    <row r="13" spans="1:58">
      <c r="B13" t="s">
        <v>31</v>
      </c>
      <c r="E13" t="s">
        <v>270</v>
      </c>
      <c r="F13" t="s">
        <v>1248</v>
      </c>
      <c r="J13" t="s">
        <v>271</v>
      </c>
    </row>
    <row r="14" spans="1:58">
      <c r="B14" t="s">
        <v>31</v>
      </c>
      <c r="E14" t="s">
        <v>97</v>
      </c>
      <c r="F14" t="s">
        <v>1249</v>
      </c>
    </row>
    <row r="15" spans="1:58">
      <c r="B15" t="s">
        <v>31</v>
      </c>
      <c r="E15" t="s">
        <v>272</v>
      </c>
      <c r="F15" t="s">
        <v>1250</v>
      </c>
    </row>
    <row r="16" spans="1:58">
      <c r="B16" t="s">
        <v>31</v>
      </c>
      <c r="E16" t="s">
        <v>102</v>
      </c>
      <c r="F16" t="s">
        <v>1251</v>
      </c>
    </row>
    <row r="17" spans="1:45">
      <c r="B17" t="s">
        <v>31</v>
      </c>
      <c r="E17" t="s">
        <v>65</v>
      </c>
      <c r="F17" t="s">
        <v>1252</v>
      </c>
    </row>
    <row r="18" spans="1:45">
      <c r="B18" t="s">
        <v>31</v>
      </c>
    </row>
    <row r="19" spans="1:45">
      <c r="B19" t="s">
        <v>31</v>
      </c>
      <c r="E19" t="s">
        <v>273</v>
      </c>
      <c r="H19" t="s">
        <v>274</v>
      </c>
    </row>
    <row r="20" spans="1:45">
      <c r="B20" t="s">
        <v>31</v>
      </c>
      <c r="E20" t="s">
        <v>275</v>
      </c>
      <c r="H20" t="s">
        <v>1253</v>
      </c>
    </row>
    <row r="21" spans="1:45">
      <c r="B21" t="s">
        <v>31</v>
      </c>
      <c r="E21" t="s">
        <v>276</v>
      </c>
      <c r="H21" t="s">
        <v>1254</v>
      </c>
    </row>
    <row r="22" spans="1:45">
      <c r="B22" t="s">
        <v>31</v>
      </c>
      <c r="E22" t="s">
        <v>65</v>
      </c>
      <c r="F22" t="s">
        <v>1255</v>
      </c>
      <c r="H22" t="s">
        <v>1256</v>
      </c>
    </row>
    <row r="23" spans="1:45">
      <c r="B23" t="s">
        <v>31</v>
      </c>
      <c r="E23" t="s">
        <v>277</v>
      </c>
    </row>
    <row r="24" spans="1:45">
      <c r="A24" t="s">
        <v>235</v>
      </c>
      <c r="B24" t="s">
        <v>31</v>
      </c>
      <c r="E24" t="s">
        <v>278</v>
      </c>
      <c r="G24" t="s">
        <v>279</v>
      </c>
      <c r="AJ24" t="s">
        <v>280</v>
      </c>
      <c r="AP24" t="s">
        <v>281</v>
      </c>
      <c r="AS24" t="s">
        <v>282</v>
      </c>
    </row>
    <row r="25" spans="1:45">
      <c r="B25" t="s">
        <v>62</v>
      </c>
      <c r="O25" t="s">
        <v>283</v>
      </c>
      <c r="P25" t="s">
        <v>1257</v>
      </c>
    </row>
    <row r="26" spans="1:45">
      <c r="O26" t="s">
        <v>284</v>
      </c>
      <c r="P26" t="s">
        <v>1258</v>
      </c>
    </row>
    <row r="27" spans="1:45">
      <c r="B27" t="s">
        <v>62</v>
      </c>
      <c r="O27" t="s">
        <v>285</v>
      </c>
      <c r="P27" t="s">
        <v>1259</v>
      </c>
    </row>
    <row r="29" spans="1:45">
      <c r="B29" t="s">
        <v>1260</v>
      </c>
      <c r="P29" t="s">
        <v>286</v>
      </c>
    </row>
    <row r="30" spans="1:45">
      <c r="B30" t="s">
        <v>1261</v>
      </c>
    </row>
    <row r="31" spans="1:45">
      <c r="B31" t="s">
        <v>62</v>
      </c>
      <c r="AD31" t="s">
        <v>3058</v>
      </c>
      <c r="AF31" t="s">
        <v>3059</v>
      </c>
      <c r="AH31" t="s">
        <v>287</v>
      </c>
      <c r="AJ31" t="s">
        <v>288</v>
      </c>
      <c r="AL31" t="s">
        <v>289</v>
      </c>
      <c r="AN31" t="s">
        <v>290</v>
      </c>
      <c r="AP31" t="s">
        <v>291</v>
      </c>
    </row>
    <row r="32" spans="1:45">
      <c r="B32" t="s">
        <v>62</v>
      </c>
      <c r="P32" t="s">
        <v>292</v>
      </c>
      <c r="T32" t="s">
        <v>287</v>
      </c>
      <c r="V32" t="s">
        <v>287</v>
      </c>
      <c r="X32" t="s">
        <v>287</v>
      </c>
      <c r="Z32" t="s">
        <v>287</v>
      </c>
      <c r="AB32" t="s">
        <v>287</v>
      </c>
      <c r="AD32" t="s">
        <v>293</v>
      </c>
      <c r="AF32" t="s">
        <v>293</v>
      </c>
      <c r="AH32" t="s">
        <v>294</v>
      </c>
      <c r="AJ32" t="s">
        <v>1264</v>
      </c>
      <c r="AL32" t="s">
        <v>288</v>
      </c>
      <c r="AN32" t="s">
        <v>296</v>
      </c>
      <c r="AP32" t="s">
        <v>293</v>
      </c>
    </row>
    <row r="33" spans="1:45">
      <c r="A33" t="s">
        <v>297</v>
      </c>
      <c r="B33" t="s">
        <v>62</v>
      </c>
      <c r="L33" t="s">
        <v>65</v>
      </c>
      <c r="M33" t="s">
        <v>298</v>
      </c>
      <c r="N33" t="s">
        <v>255</v>
      </c>
      <c r="O33" t="s">
        <v>253</v>
      </c>
      <c r="P33" t="s">
        <v>299</v>
      </c>
      <c r="R33" t="s">
        <v>300</v>
      </c>
      <c r="T33" t="s">
        <v>301</v>
      </c>
      <c r="V33" t="s">
        <v>1265</v>
      </c>
      <c r="X33" t="s">
        <v>1266</v>
      </c>
      <c r="Z33" t="s">
        <v>1267</v>
      </c>
      <c r="AB33" t="s">
        <v>1268</v>
      </c>
      <c r="AD33" t="s">
        <v>1269</v>
      </c>
      <c r="AF33" t="s">
        <v>1270</v>
      </c>
      <c r="AH33" t="s">
        <v>1271</v>
      </c>
      <c r="AJ33" t="s">
        <v>1272</v>
      </c>
      <c r="AL33" t="s">
        <v>1273</v>
      </c>
      <c r="AN33" t="s">
        <v>1274</v>
      </c>
      <c r="AP33" t="s">
        <v>1274</v>
      </c>
      <c r="AS33" t="s">
        <v>305</v>
      </c>
    </row>
    <row r="34" spans="1:45">
      <c r="B34" t="s">
        <v>62</v>
      </c>
    </row>
    <row r="35" spans="1:45">
      <c r="B35" t="s">
        <v>62</v>
      </c>
      <c r="O35" t="s">
        <v>306</v>
      </c>
      <c r="P35" t="s">
        <v>307</v>
      </c>
    </row>
    <row r="36" spans="1:45">
      <c r="B36" t="s">
        <v>62</v>
      </c>
      <c r="R36" t="s">
        <v>3060</v>
      </c>
    </row>
    <row r="37" spans="1:45">
      <c r="B37" t="s">
        <v>62</v>
      </c>
    </row>
    <row r="38" spans="1:45">
      <c r="A38" t="s">
        <v>236</v>
      </c>
      <c r="B38" t="s">
        <v>62</v>
      </c>
      <c r="E38" t="s">
        <v>1276</v>
      </c>
      <c r="K38" t="s">
        <v>1277</v>
      </c>
      <c r="L38" t="s">
        <v>1278</v>
      </c>
      <c r="M38" t="s">
        <v>1279</v>
      </c>
      <c r="N38" t="s">
        <v>1280</v>
      </c>
      <c r="O38" t="s">
        <v>1281</v>
      </c>
      <c r="P38" t="s">
        <v>1281</v>
      </c>
      <c r="R38" t="s">
        <v>1282</v>
      </c>
      <c r="T38" t="s">
        <v>1283</v>
      </c>
      <c r="V38" t="s">
        <v>1284</v>
      </c>
      <c r="X38" t="s">
        <v>1285</v>
      </c>
      <c r="Z38" t="s">
        <v>1286</v>
      </c>
      <c r="AB38" t="s">
        <v>1287</v>
      </c>
      <c r="AD38" t="s">
        <v>1288</v>
      </c>
      <c r="AF38" t="s">
        <v>1289</v>
      </c>
      <c r="AH38" t="s">
        <v>3061</v>
      </c>
      <c r="AJ38" t="s">
        <v>1291</v>
      </c>
      <c r="AL38" t="s">
        <v>1292</v>
      </c>
      <c r="AN38" t="s">
        <v>1293</v>
      </c>
      <c r="AP38" t="s">
        <v>1294</v>
      </c>
      <c r="AQ38" t="s">
        <v>1295</v>
      </c>
    </row>
    <row r="39" spans="1:45">
      <c r="A39" t="s">
        <v>236</v>
      </c>
      <c r="B39" t="s">
        <v>1296</v>
      </c>
      <c r="K39" t="s">
        <v>1297</v>
      </c>
      <c r="L39" t="s">
        <v>1278</v>
      </c>
      <c r="M39" t="s">
        <v>1279</v>
      </c>
      <c r="N39" t="s">
        <v>1280</v>
      </c>
      <c r="O39" t="s">
        <v>1298</v>
      </c>
      <c r="P39" t="s">
        <v>1299</v>
      </c>
      <c r="R39" t="s">
        <v>1300</v>
      </c>
      <c r="T39" t="s">
        <v>1301</v>
      </c>
      <c r="V39" t="s">
        <v>1302</v>
      </c>
      <c r="X39" t="s">
        <v>1303</v>
      </c>
      <c r="Z39" t="s">
        <v>1304</v>
      </c>
      <c r="AB39" t="s">
        <v>1305</v>
      </c>
      <c r="AD39" t="s">
        <v>1306</v>
      </c>
      <c r="AF39" t="s">
        <v>1307</v>
      </c>
      <c r="AH39" t="s">
        <v>1308</v>
      </c>
      <c r="AJ39" t="s">
        <v>1309</v>
      </c>
      <c r="AL39" t="s">
        <v>1310</v>
      </c>
      <c r="AN39" t="s">
        <v>1311</v>
      </c>
      <c r="AP39" t="s">
        <v>1312</v>
      </c>
      <c r="AQ39" t="s">
        <v>1313</v>
      </c>
    </row>
    <row r="40" spans="1:45">
      <c r="A40" t="s">
        <v>311</v>
      </c>
      <c r="B40" t="s">
        <v>3062</v>
      </c>
      <c r="K40" t="s">
        <v>3063</v>
      </c>
      <c r="L40" t="s">
        <v>1278</v>
      </c>
      <c r="M40" t="s">
        <v>1279</v>
      </c>
      <c r="N40" t="s">
        <v>1280</v>
      </c>
      <c r="O40" t="s">
        <v>3064</v>
      </c>
      <c r="P40" t="s">
        <v>3065</v>
      </c>
      <c r="R40" t="s">
        <v>3066</v>
      </c>
      <c r="T40" t="s">
        <v>3067</v>
      </c>
      <c r="V40" t="s">
        <v>3068</v>
      </c>
      <c r="X40" t="s">
        <v>3069</v>
      </c>
      <c r="Z40" t="s">
        <v>3070</v>
      </c>
      <c r="AB40" t="s">
        <v>3071</v>
      </c>
      <c r="AD40" t="s">
        <v>3072</v>
      </c>
      <c r="AF40" t="s">
        <v>3073</v>
      </c>
      <c r="AH40" t="s">
        <v>3074</v>
      </c>
      <c r="AJ40" t="s">
        <v>3075</v>
      </c>
      <c r="AL40" t="s">
        <v>3076</v>
      </c>
      <c r="AN40" t="s">
        <v>3077</v>
      </c>
      <c r="AP40" t="s">
        <v>3078</v>
      </c>
      <c r="AQ40" t="s">
        <v>3079</v>
      </c>
    </row>
    <row r="41" spans="1:45">
      <c r="A41" t="s">
        <v>311</v>
      </c>
      <c r="B41" t="s">
        <v>3080</v>
      </c>
      <c r="K41" t="s">
        <v>3081</v>
      </c>
      <c r="L41" t="s">
        <v>1278</v>
      </c>
      <c r="M41" t="s">
        <v>1279</v>
      </c>
      <c r="N41" t="s">
        <v>1280</v>
      </c>
      <c r="O41" t="s">
        <v>3082</v>
      </c>
      <c r="P41" t="s">
        <v>3083</v>
      </c>
      <c r="R41" t="s">
        <v>3084</v>
      </c>
      <c r="T41" t="s">
        <v>3085</v>
      </c>
      <c r="V41" t="s">
        <v>3086</v>
      </c>
      <c r="X41" t="s">
        <v>3087</v>
      </c>
      <c r="Z41" t="s">
        <v>3088</v>
      </c>
      <c r="AB41" t="s">
        <v>3089</v>
      </c>
      <c r="AD41" t="s">
        <v>3090</v>
      </c>
      <c r="AF41" t="s">
        <v>3091</v>
      </c>
      <c r="AH41" t="s">
        <v>3092</v>
      </c>
      <c r="AJ41" t="s">
        <v>3093</v>
      </c>
      <c r="AL41" t="s">
        <v>3094</v>
      </c>
      <c r="AN41" t="s">
        <v>3095</v>
      </c>
      <c r="AP41" t="s">
        <v>3096</v>
      </c>
      <c r="AQ41" t="s">
        <v>3097</v>
      </c>
    </row>
    <row r="42" spans="1:45">
      <c r="A42" t="s">
        <v>311</v>
      </c>
      <c r="B42" t="s">
        <v>3098</v>
      </c>
      <c r="K42" t="s">
        <v>3099</v>
      </c>
      <c r="L42" t="s">
        <v>1278</v>
      </c>
      <c r="M42" t="s">
        <v>1279</v>
      </c>
      <c r="N42" t="s">
        <v>1280</v>
      </c>
      <c r="O42" t="s">
        <v>3100</v>
      </c>
      <c r="P42" t="s">
        <v>3101</v>
      </c>
      <c r="R42" t="s">
        <v>3102</v>
      </c>
      <c r="T42" t="s">
        <v>3103</v>
      </c>
      <c r="V42" t="s">
        <v>3104</v>
      </c>
      <c r="X42" t="s">
        <v>3105</v>
      </c>
      <c r="Z42" t="s">
        <v>3106</v>
      </c>
      <c r="AB42" t="s">
        <v>3107</v>
      </c>
      <c r="AD42" t="s">
        <v>3108</v>
      </c>
      <c r="AF42" t="s">
        <v>3109</v>
      </c>
      <c r="AH42" t="s">
        <v>3110</v>
      </c>
      <c r="AJ42" t="s">
        <v>3111</v>
      </c>
      <c r="AL42" t="s">
        <v>3112</v>
      </c>
      <c r="AN42" t="s">
        <v>3113</v>
      </c>
      <c r="AP42" t="s">
        <v>3114</v>
      </c>
      <c r="AQ42" t="s">
        <v>3115</v>
      </c>
    </row>
    <row r="43" spans="1:45">
      <c r="A43" t="s">
        <v>311</v>
      </c>
      <c r="B43" t="s">
        <v>3116</v>
      </c>
      <c r="K43" t="s">
        <v>3117</v>
      </c>
      <c r="L43" t="s">
        <v>1278</v>
      </c>
      <c r="M43" t="s">
        <v>1279</v>
      </c>
      <c r="N43" t="s">
        <v>1280</v>
      </c>
      <c r="O43" t="s">
        <v>3118</v>
      </c>
      <c r="P43" t="s">
        <v>3119</v>
      </c>
      <c r="R43" t="s">
        <v>3120</v>
      </c>
      <c r="T43" t="s">
        <v>3121</v>
      </c>
      <c r="V43" t="s">
        <v>3122</v>
      </c>
      <c r="X43" t="s">
        <v>3123</v>
      </c>
      <c r="Z43" t="s">
        <v>3124</v>
      </c>
      <c r="AB43" t="s">
        <v>3125</v>
      </c>
      <c r="AD43" t="s">
        <v>3126</v>
      </c>
      <c r="AF43" t="s">
        <v>3127</v>
      </c>
      <c r="AH43" t="s">
        <v>3128</v>
      </c>
      <c r="AJ43" t="s">
        <v>3129</v>
      </c>
      <c r="AL43" t="s">
        <v>3130</v>
      </c>
      <c r="AN43" t="s">
        <v>3131</v>
      </c>
      <c r="AP43" t="s">
        <v>3132</v>
      </c>
      <c r="AQ43" t="s">
        <v>3133</v>
      </c>
    </row>
    <row r="44" spans="1:45">
      <c r="A44" t="s">
        <v>311</v>
      </c>
      <c r="B44" t="s">
        <v>1323</v>
      </c>
      <c r="K44" t="s">
        <v>3134</v>
      </c>
      <c r="L44" t="s">
        <v>1278</v>
      </c>
      <c r="M44" t="s">
        <v>1279</v>
      </c>
      <c r="N44" t="s">
        <v>1280</v>
      </c>
      <c r="O44" t="s">
        <v>3135</v>
      </c>
      <c r="P44" t="s">
        <v>1327</v>
      </c>
      <c r="R44" t="s">
        <v>1328</v>
      </c>
      <c r="T44" t="s">
        <v>3136</v>
      </c>
      <c r="V44" t="s">
        <v>3137</v>
      </c>
      <c r="X44" t="s">
        <v>3138</v>
      </c>
      <c r="Z44" t="s">
        <v>3139</v>
      </c>
      <c r="AB44" t="s">
        <v>3140</v>
      </c>
      <c r="AD44" t="s">
        <v>3141</v>
      </c>
      <c r="AF44" t="s">
        <v>3142</v>
      </c>
      <c r="AH44" t="s">
        <v>3143</v>
      </c>
      <c r="AJ44" t="s">
        <v>1337</v>
      </c>
      <c r="AL44" t="s">
        <v>1338</v>
      </c>
      <c r="AN44" t="s">
        <v>3144</v>
      </c>
      <c r="AP44" t="s">
        <v>1340</v>
      </c>
      <c r="AQ44" t="s">
        <v>1341</v>
      </c>
    </row>
    <row r="45" spans="1:45">
      <c r="A45" t="s">
        <v>311</v>
      </c>
      <c r="B45" t="s">
        <v>3145</v>
      </c>
      <c r="K45" t="s">
        <v>3146</v>
      </c>
      <c r="L45" t="s">
        <v>1278</v>
      </c>
      <c r="M45" t="s">
        <v>1279</v>
      </c>
      <c r="N45" t="s">
        <v>1280</v>
      </c>
      <c r="O45" t="s">
        <v>3147</v>
      </c>
      <c r="P45" t="s">
        <v>3148</v>
      </c>
      <c r="R45" t="s">
        <v>3149</v>
      </c>
      <c r="T45" t="s">
        <v>3150</v>
      </c>
      <c r="V45" t="s">
        <v>3151</v>
      </c>
      <c r="X45" t="s">
        <v>3152</v>
      </c>
      <c r="Z45" t="s">
        <v>3153</v>
      </c>
      <c r="AB45" t="s">
        <v>3154</v>
      </c>
      <c r="AD45" t="s">
        <v>3155</v>
      </c>
      <c r="AF45" t="s">
        <v>3156</v>
      </c>
      <c r="AH45" t="s">
        <v>3157</v>
      </c>
      <c r="AJ45" t="s">
        <v>3158</v>
      </c>
      <c r="AL45" t="s">
        <v>3159</v>
      </c>
      <c r="AN45" t="s">
        <v>3160</v>
      </c>
      <c r="AP45" t="s">
        <v>3161</v>
      </c>
      <c r="AQ45" t="s">
        <v>3162</v>
      </c>
    </row>
    <row r="46" spans="1:45">
      <c r="A46" t="s">
        <v>311</v>
      </c>
      <c r="B46" t="s">
        <v>1343</v>
      </c>
      <c r="K46" t="s">
        <v>3163</v>
      </c>
      <c r="L46" t="s">
        <v>1278</v>
      </c>
      <c r="M46" t="s">
        <v>1279</v>
      </c>
      <c r="N46" t="s">
        <v>1280</v>
      </c>
      <c r="O46" t="s">
        <v>3164</v>
      </c>
      <c r="P46" t="s">
        <v>3165</v>
      </c>
      <c r="R46" t="s">
        <v>3166</v>
      </c>
      <c r="T46" t="s">
        <v>3167</v>
      </c>
      <c r="V46" t="s">
        <v>3168</v>
      </c>
      <c r="X46" t="s">
        <v>3169</v>
      </c>
      <c r="Z46" t="s">
        <v>3170</v>
      </c>
      <c r="AB46" t="s">
        <v>3171</v>
      </c>
      <c r="AD46" t="s">
        <v>3172</v>
      </c>
      <c r="AF46" t="s">
        <v>3173</v>
      </c>
      <c r="AH46" t="s">
        <v>3174</v>
      </c>
      <c r="AJ46" t="s">
        <v>3175</v>
      </c>
      <c r="AL46" t="s">
        <v>3176</v>
      </c>
      <c r="AN46" t="s">
        <v>3177</v>
      </c>
      <c r="AP46" t="s">
        <v>3178</v>
      </c>
      <c r="AQ46" t="s">
        <v>1357</v>
      </c>
    </row>
    <row r="47" spans="1:45">
      <c r="A47" t="s">
        <v>311</v>
      </c>
      <c r="B47" t="s">
        <v>3179</v>
      </c>
      <c r="K47" t="s">
        <v>3180</v>
      </c>
      <c r="L47" t="s">
        <v>1278</v>
      </c>
      <c r="M47" t="s">
        <v>1279</v>
      </c>
      <c r="N47" t="s">
        <v>1280</v>
      </c>
      <c r="O47" t="s">
        <v>3181</v>
      </c>
      <c r="P47" t="s">
        <v>3182</v>
      </c>
      <c r="R47" t="s">
        <v>3183</v>
      </c>
      <c r="T47" t="s">
        <v>3184</v>
      </c>
      <c r="V47" t="s">
        <v>3185</v>
      </c>
      <c r="X47" t="s">
        <v>3186</v>
      </c>
      <c r="Z47" t="s">
        <v>3187</v>
      </c>
      <c r="AB47" t="s">
        <v>3188</v>
      </c>
      <c r="AD47" t="s">
        <v>3189</v>
      </c>
      <c r="AF47" t="s">
        <v>3190</v>
      </c>
      <c r="AH47" t="s">
        <v>3191</v>
      </c>
      <c r="AJ47" t="s">
        <v>3192</v>
      </c>
      <c r="AL47" t="s">
        <v>3193</v>
      </c>
      <c r="AN47" t="s">
        <v>3194</v>
      </c>
      <c r="AP47" t="s">
        <v>3195</v>
      </c>
      <c r="AQ47" t="s">
        <v>3196</v>
      </c>
    </row>
    <row r="48" spans="1:45">
      <c r="A48" t="s">
        <v>311</v>
      </c>
      <c r="B48" t="s">
        <v>3197</v>
      </c>
      <c r="K48" t="s">
        <v>3198</v>
      </c>
      <c r="L48" t="s">
        <v>1278</v>
      </c>
      <c r="M48" t="s">
        <v>1279</v>
      </c>
      <c r="N48" t="s">
        <v>1280</v>
      </c>
      <c r="O48" t="s">
        <v>3199</v>
      </c>
      <c r="P48" t="s">
        <v>3200</v>
      </c>
      <c r="R48" t="s">
        <v>3201</v>
      </c>
      <c r="T48" t="s">
        <v>3202</v>
      </c>
      <c r="V48" t="s">
        <v>3203</v>
      </c>
      <c r="X48" t="s">
        <v>3204</v>
      </c>
      <c r="Z48" t="s">
        <v>3205</v>
      </c>
      <c r="AB48" t="s">
        <v>3206</v>
      </c>
      <c r="AD48" t="s">
        <v>3207</v>
      </c>
      <c r="AF48" t="s">
        <v>3208</v>
      </c>
      <c r="AH48" t="s">
        <v>3209</v>
      </c>
      <c r="AJ48" t="s">
        <v>3210</v>
      </c>
      <c r="AL48" t="s">
        <v>3211</v>
      </c>
      <c r="AN48" t="s">
        <v>3212</v>
      </c>
      <c r="AP48" t="s">
        <v>3213</v>
      </c>
      <c r="AQ48" t="s">
        <v>3214</v>
      </c>
    </row>
    <row r="49" spans="1:58">
      <c r="A49" t="s">
        <v>311</v>
      </c>
      <c r="B49" t="s">
        <v>3215</v>
      </c>
      <c r="K49" t="s">
        <v>3216</v>
      </c>
      <c r="L49" t="s">
        <v>1278</v>
      </c>
      <c r="M49" t="s">
        <v>1279</v>
      </c>
      <c r="N49" t="s">
        <v>1280</v>
      </c>
      <c r="O49" t="s">
        <v>3217</v>
      </c>
      <c r="P49" t="s">
        <v>3218</v>
      </c>
      <c r="R49" t="s">
        <v>3219</v>
      </c>
      <c r="T49" t="s">
        <v>3220</v>
      </c>
      <c r="V49" t="s">
        <v>3221</v>
      </c>
      <c r="X49" t="s">
        <v>3222</v>
      </c>
      <c r="Z49" t="s">
        <v>3223</v>
      </c>
      <c r="AB49" t="s">
        <v>3224</v>
      </c>
      <c r="AD49" t="s">
        <v>3225</v>
      </c>
      <c r="AF49" t="s">
        <v>3226</v>
      </c>
      <c r="AH49" t="s">
        <v>3227</v>
      </c>
      <c r="AJ49" t="s">
        <v>3228</v>
      </c>
      <c r="AL49" t="s">
        <v>3229</v>
      </c>
      <c r="AN49" t="s">
        <v>3230</v>
      </c>
      <c r="AP49" t="s">
        <v>3231</v>
      </c>
      <c r="AQ49" t="s">
        <v>1372</v>
      </c>
    </row>
    <row r="50" spans="1:58">
      <c r="A50" t="s">
        <v>311</v>
      </c>
      <c r="B50" t="s">
        <v>3232</v>
      </c>
      <c r="K50" t="s">
        <v>3233</v>
      </c>
      <c r="L50" t="s">
        <v>1278</v>
      </c>
      <c r="M50" t="s">
        <v>1279</v>
      </c>
      <c r="N50" t="s">
        <v>1280</v>
      </c>
      <c r="O50" t="s">
        <v>3234</v>
      </c>
      <c r="P50" t="s">
        <v>3235</v>
      </c>
      <c r="R50" t="s">
        <v>3236</v>
      </c>
      <c r="T50" t="s">
        <v>3237</v>
      </c>
      <c r="V50" t="s">
        <v>3238</v>
      </c>
      <c r="X50" t="s">
        <v>3239</v>
      </c>
      <c r="Z50" t="s">
        <v>3240</v>
      </c>
      <c r="AB50" t="s">
        <v>3241</v>
      </c>
      <c r="AD50" t="s">
        <v>3242</v>
      </c>
      <c r="AF50" t="s">
        <v>3243</v>
      </c>
      <c r="AH50" t="s">
        <v>3244</v>
      </c>
      <c r="AJ50" t="s">
        <v>3245</v>
      </c>
      <c r="AL50" t="s">
        <v>3246</v>
      </c>
      <c r="AN50" t="s">
        <v>3247</v>
      </c>
      <c r="AP50" t="s">
        <v>3248</v>
      </c>
      <c r="AQ50" t="s">
        <v>3249</v>
      </c>
    </row>
    <row r="51" spans="1:58">
      <c r="A51" t="s">
        <v>311</v>
      </c>
      <c r="B51" t="s">
        <v>3250</v>
      </c>
      <c r="K51" t="s">
        <v>3251</v>
      </c>
      <c r="L51" t="s">
        <v>1278</v>
      </c>
      <c r="M51" t="s">
        <v>1279</v>
      </c>
      <c r="N51" t="s">
        <v>1280</v>
      </c>
      <c r="O51" t="s">
        <v>3252</v>
      </c>
      <c r="P51" t="s">
        <v>3253</v>
      </c>
      <c r="R51" t="s">
        <v>3254</v>
      </c>
      <c r="T51" t="s">
        <v>3255</v>
      </c>
      <c r="V51" t="s">
        <v>3256</v>
      </c>
      <c r="X51" t="s">
        <v>3257</v>
      </c>
      <c r="Z51" t="s">
        <v>3258</v>
      </c>
      <c r="AB51" t="s">
        <v>3259</v>
      </c>
      <c r="AD51" t="s">
        <v>3260</v>
      </c>
      <c r="AF51" t="s">
        <v>3261</v>
      </c>
      <c r="AH51" t="s">
        <v>3262</v>
      </c>
      <c r="AJ51" t="s">
        <v>3263</v>
      </c>
      <c r="AL51" t="s">
        <v>3264</v>
      </c>
      <c r="AN51" t="s">
        <v>3265</v>
      </c>
      <c r="AP51" t="s">
        <v>3266</v>
      </c>
      <c r="AQ51" t="s">
        <v>3267</v>
      </c>
    </row>
    <row r="52" spans="1:58">
      <c r="A52" t="s">
        <v>311</v>
      </c>
      <c r="B52" t="s">
        <v>3268</v>
      </c>
      <c r="K52" t="s">
        <v>3269</v>
      </c>
      <c r="L52" t="s">
        <v>1278</v>
      </c>
      <c r="M52" t="s">
        <v>1279</v>
      </c>
      <c r="N52" t="s">
        <v>1280</v>
      </c>
      <c r="O52" t="s">
        <v>3270</v>
      </c>
      <c r="P52" t="s">
        <v>3271</v>
      </c>
      <c r="R52" t="s">
        <v>3272</v>
      </c>
      <c r="T52" t="s">
        <v>3273</v>
      </c>
      <c r="V52" t="s">
        <v>3274</v>
      </c>
      <c r="X52" t="s">
        <v>3275</v>
      </c>
      <c r="Z52" t="s">
        <v>3276</v>
      </c>
      <c r="AB52" t="s">
        <v>3277</v>
      </c>
      <c r="AD52" t="s">
        <v>3278</v>
      </c>
      <c r="AF52" t="s">
        <v>3279</v>
      </c>
      <c r="AH52" t="s">
        <v>3280</v>
      </c>
      <c r="AJ52" t="s">
        <v>3281</v>
      </c>
      <c r="AL52" t="s">
        <v>3282</v>
      </c>
      <c r="AN52" t="s">
        <v>3283</v>
      </c>
      <c r="AP52" t="s">
        <v>3284</v>
      </c>
      <c r="AQ52" t="s">
        <v>3285</v>
      </c>
    </row>
    <row r="53" spans="1:58">
      <c r="A53" t="s">
        <v>311</v>
      </c>
      <c r="B53" t="s">
        <v>1375</v>
      </c>
      <c r="K53" t="s">
        <v>3286</v>
      </c>
      <c r="L53" t="s">
        <v>1278</v>
      </c>
      <c r="M53" t="s">
        <v>1279</v>
      </c>
      <c r="N53" t="s">
        <v>1280</v>
      </c>
      <c r="O53" t="s">
        <v>3287</v>
      </c>
      <c r="P53" t="s">
        <v>1378</v>
      </c>
      <c r="R53" t="s">
        <v>1379</v>
      </c>
      <c r="T53" t="s">
        <v>3288</v>
      </c>
      <c r="V53" t="s">
        <v>3289</v>
      </c>
      <c r="X53" t="s">
        <v>3290</v>
      </c>
      <c r="Z53" t="s">
        <v>3291</v>
      </c>
      <c r="AB53" t="s">
        <v>3292</v>
      </c>
      <c r="AD53" t="s">
        <v>3293</v>
      </c>
      <c r="AF53" t="s">
        <v>3294</v>
      </c>
      <c r="AH53" t="s">
        <v>3295</v>
      </c>
      <c r="AJ53" t="s">
        <v>3296</v>
      </c>
      <c r="AL53" t="s">
        <v>1388</v>
      </c>
      <c r="AN53" t="s">
        <v>3297</v>
      </c>
      <c r="AP53" t="s">
        <v>1390</v>
      </c>
      <c r="AQ53" t="s">
        <v>1391</v>
      </c>
    </row>
    <row r="54" spans="1:58">
      <c r="A54" t="s">
        <v>311</v>
      </c>
      <c r="B54" t="s">
        <v>3298</v>
      </c>
      <c r="K54" t="s">
        <v>3299</v>
      </c>
      <c r="L54" t="s">
        <v>1278</v>
      </c>
      <c r="M54" t="s">
        <v>1279</v>
      </c>
      <c r="N54" t="s">
        <v>1280</v>
      </c>
      <c r="O54" t="s">
        <v>3300</v>
      </c>
      <c r="P54" t="s">
        <v>3301</v>
      </c>
      <c r="R54" t="s">
        <v>3302</v>
      </c>
      <c r="T54" t="s">
        <v>3303</v>
      </c>
      <c r="V54" t="s">
        <v>3304</v>
      </c>
      <c r="X54" t="s">
        <v>3305</v>
      </c>
      <c r="Z54" t="s">
        <v>3306</v>
      </c>
      <c r="AB54" t="s">
        <v>3307</v>
      </c>
      <c r="AD54" t="s">
        <v>3308</v>
      </c>
      <c r="AF54" t="s">
        <v>3309</v>
      </c>
      <c r="AH54" t="s">
        <v>3310</v>
      </c>
      <c r="AJ54" t="s">
        <v>3311</v>
      </c>
      <c r="AL54" t="s">
        <v>3312</v>
      </c>
      <c r="AN54" t="s">
        <v>3313</v>
      </c>
      <c r="AP54" t="s">
        <v>3314</v>
      </c>
      <c r="AQ54" t="s">
        <v>3315</v>
      </c>
    </row>
    <row r="55" spans="1:58">
      <c r="B55" t="s">
        <v>62</v>
      </c>
    </row>
    <row r="56" spans="1:58">
      <c r="B56" t="s">
        <v>31</v>
      </c>
      <c r="E56" t="s">
        <v>1314</v>
      </c>
    </row>
    <row r="57" spans="1:58">
      <c r="B57" t="s">
        <v>31</v>
      </c>
      <c r="I57" t="s">
        <v>3316</v>
      </c>
    </row>
    <row r="58" spans="1:58">
      <c r="B58" t="s">
        <v>3317</v>
      </c>
      <c r="I58" t="s">
        <v>3318</v>
      </c>
      <c r="R58" t="s">
        <v>3319</v>
      </c>
      <c r="AU58" t="s">
        <v>301</v>
      </c>
      <c r="AV58" t="s">
        <v>1319</v>
      </c>
      <c r="AW58" t="s">
        <v>1320</v>
      </c>
      <c r="AX58" t="s">
        <v>1321</v>
      </c>
      <c r="AY58" t="s">
        <v>1322</v>
      </c>
      <c r="AZ58" t="s">
        <v>327</v>
      </c>
      <c r="BA58" t="s">
        <v>328</v>
      </c>
      <c r="BB58" t="s">
        <v>329</v>
      </c>
      <c r="BC58" t="s">
        <v>330</v>
      </c>
      <c r="BD58" t="s">
        <v>289</v>
      </c>
      <c r="BE58" t="s">
        <v>331</v>
      </c>
      <c r="BF58" t="s">
        <v>332</v>
      </c>
    </row>
    <row r="59" spans="1:58">
      <c r="A59" t="s">
        <v>236</v>
      </c>
      <c r="B59" t="s">
        <v>3320</v>
      </c>
      <c r="I59" t="s">
        <v>3321</v>
      </c>
      <c r="K59" t="s">
        <v>3322</v>
      </c>
      <c r="L59" t="s">
        <v>1278</v>
      </c>
      <c r="M59" t="s">
        <v>1279</v>
      </c>
      <c r="N59" t="s">
        <v>1280</v>
      </c>
      <c r="O59" t="s">
        <v>3323</v>
      </c>
      <c r="P59" t="s">
        <v>3324</v>
      </c>
      <c r="R59" t="s">
        <v>3325</v>
      </c>
      <c r="T59" t="s">
        <v>3326</v>
      </c>
      <c r="V59" t="s">
        <v>3327</v>
      </c>
      <c r="X59" t="s">
        <v>3328</v>
      </c>
      <c r="Z59" t="s">
        <v>3329</v>
      </c>
      <c r="AB59" t="s">
        <v>3330</v>
      </c>
      <c r="AD59" t="s">
        <v>3331</v>
      </c>
      <c r="AF59" t="s">
        <v>3332</v>
      </c>
      <c r="AH59" t="s">
        <v>3333</v>
      </c>
      <c r="AJ59" t="s">
        <v>3334</v>
      </c>
      <c r="AL59" t="s">
        <v>3335</v>
      </c>
      <c r="AN59" t="s">
        <v>3336</v>
      </c>
      <c r="AP59" t="s">
        <v>3337</v>
      </c>
      <c r="AQ59" t="s">
        <v>3338</v>
      </c>
    </row>
    <row r="60" spans="1:58">
      <c r="B60" t="s">
        <v>3317</v>
      </c>
      <c r="I60" t="s">
        <v>3339</v>
      </c>
    </row>
    <row r="61" spans="1:58">
      <c r="B61" t="s">
        <v>3340</v>
      </c>
      <c r="I61" t="s">
        <v>3341</v>
      </c>
      <c r="R61" t="s">
        <v>150</v>
      </c>
      <c r="T61" t="s">
        <v>3342</v>
      </c>
      <c r="V61" t="s">
        <v>3343</v>
      </c>
      <c r="X61" t="s">
        <v>3344</v>
      </c>
      <c r="Z61" t="s">
        <v>3345</v>
      </c>
      <c r="AB61" t="s">
        <v>3346</v>
      </c>
      <c r="AD61" t="s">
        <v>3347</v>
      </c>
      <c r="AF61" t="s">
        <v>3348</v>
      </c>
      <c r="AH61" t="s">
        <v>3349</v>
      </c>
      <c r="AJ61" t="s">
        <v>3350</v>
      </c>
      <c r="AL61" t="s">
        <v>3351</v>
      </c>
      <c r="AN61" t="s">
        <v>3352</v>
      </c>
      <c r="AP61" t="s">
        <v>3353</v>
      </c>
      <c r="AQ61" t="s">
        <v>3354</v>
      </c>
      <c r="AU61" t="s">
        <v>3342</v>
      </c>
      <c r="AV61" t="s">
        <v>3343</v>
      </c>
      <c r="AW61" t="s">
        <v>3344</v>
      </c>
      <c r="AX61" t="s">
        <v>3345</v>
      </c>
      <c r="AY61" t="s">
        <v>3346</v>
      </c>
      <c r="AZ61" t="s">
        <v>3347</v>
      </c>
      <c r="BA61" t="s">
        <v>3348</v>
      </c>
      <c r="BB61" t="s">
        <v>3349</v>
      </c>
      <c r="BC61" t="s">
        <v>3350</v>
      </c>
      <c r="BD61" t="s">
        <v>3351</v>
      </c>
      <c r="BE61" t="s">
        <v>3352</v>
      </c>
      <c r="BF61" t="s">
        <v>3353</v>
      </c>
    </row>
    <row r="62" spans="1:58">
      <c r="B62" t="s">
        <v>3317</v>
      </c>
      <c r="I62" t="s">
        <v>3355</v>
      </c>
    </row>
    <row r="63" spans="1:58">
      <c r="B63" t="s">
        <v>62</v>
      </c>
    </row>
    <row r="64" spans="1:58">
      <c r="B64" t="s">
        <v>62</v>
      </c>
      <c r="R64" t="s">
        <v>1359</v>
      </c>
      <c r="T64" t="s">
        <v>3356</v>
      </c>
      <c r="V64" t="s">
        <v>3357</v>
      </c>
      <c r="X64" t="s">
        <v>3358</v>
      </c>
      <c r="Z64" t="s">
        <v>3359</v>
      </c>
      <c r="AB64" t="s">
        <v>3360</v>
      </c>
      <c r="AD64" t="s">
        <v>3361</v>
      </c>
      <c r="AF64" t="s">
        <v>3362</v>
      </c>
      <c r="AH64" t="s">
        <v>3363</v>
      </c>
      <c r="AJ64" t="s">
        <v>3364</v>
      </c>
      <c r="AL64" t="s">
        <v>3365</v>
      </c>
      <c r="AN64" t="s">
        <v>3366</v>
      </c>
      <c r="AP64" t="s">
        <v>3367</v>
      </c>
      <c r="AQ64" t="s">
        <v>3368</v>
      </c>
    </row>
    <row r="65" spans="1:43">
      <c r="B65" t="s">
        <v>62</v>
      </c>
    </row>
    <row r="66" spans="1:43">
      <c r="B66" t="s">
        <v>3369</v>
      </c>
      <c r="E66" t="s">
        <v>1374</v>
      </c>
      <c r="R66" t="s">
        <v>335</v>
      </c>
    </row>
    <row r="67" spans="1:43">
      <c r="B67" t="s">
        <v>31</v>
      </c>
    </row>
    <row r="68" spans="1:43">
      <c r="A68" t="s">
        <v>236</v>
      </c>
      <c r="B68" t="s">
        <v>3370</v>
      </c>
      <c r="K68" t="s">
        <v>3371</v>
      </c>
      <c r="L68" t="s">
        <v>1278</v>
      </c>
      <c r="M68" t="s">
        <v>1279</v>
      </c>
      <c r="N68" t="s">
        <v>1280</v>
      </c>
      <c r="O68" t="s">
        <v>3372</v>
      </c>
      <c r="P68" t="s">
        <v>3373</v>
      </c>
      <c r="R68" t="s">
        <v>3374</v>
      </c>
      <c r="T68" t="s">
        <v>3375</v>
      </c>
      <c r="V68" t="s">
        <v>3376</v>
      </c>
      <c r="X68" t="s">
        <v>3377</v>
      </c>
      <c r="Z68" t="s">
        <v>3378</v>
      </c>
      <c r="AB68" t="s">
        <v>3379</v>
      </c>
      <c r="AD68" t="s">
        <v>3380</v>
      </c>
      <c r="AF68" t="s">
        <v>3381</v>
      </c>
      <c r="AH68" t="s">
        <v>3382</v>
      </c>
      <c r="AJ68" t="s">
        <v>830</v>
      </c>
      <c r="AL68" t="s">
        <v>3383</v>
      </c>
      <c r="AN68" t="s">
        <v>3384</v>
      </c>
      <c r="AP68" t="s">
        <v>3385</v>
      </c>
      <c r="AQ68" t="s">
        <v>3386</v>
      </c>
    </row>
    <row r="69" spans="1:43">
      <c r="B69" t="s">
        <v>31</v>
      </c>
    </row>
    <row r="70" spans="1:43">
      <c r="B70" t="s">
        <v>3369</v>
      </c>
      <c r="R70" t="s">
        <v>1392</v>
      </c>
      <c r="T70" t="s">
        <v>3387</v>
      </c>
      <c r="V70" t="s">
        <v>3388</v>
      </c>
      <c r="X70" t="s">
        <v>3389</v>
      </c>
      <c r="Z70" t="s">
        <v>3390</v>
      </c>
      <c r="AB70" t="s">
        <v>3391</v>
      </c>
      <c r="AD70" t="s">
        <v>3392</v>
      </c>
      <c r="AF70" t="s">
        <v>3393</v>
      </c>
      <c r="AH70" t="s">
        <v>3394</v>
      </c>
      <c r="AJ70" t="s">
        <v>3395</v>
      </c>
      <c r="AL70" t="s">
        <v>3396</v>
      </c>
      <c r="AN70" t="s">
        <v>3397</v>
      </c>
      <c r="AP70" t="s">
        <v>3398</v>
      </c>
      <c r="AQ70" t="s">
        <v>3399</v>
      </c>
    </row>
    <row r="71" spans="1:43">
      <c r="B71" t="s">
        <v>3400</v>
      </c>
    </row>
    <row r="72" spans="1:43">
      <c r="B72" t="s">
        <v>3401</v>
      </c>
      <c r="R72" t="s">
        <v>1408</v>
      </c>
      <c r="T72" t="s">
        <v>3402</v>
      </c>
      <c r="V72" t="s">
        <v>3403</v>
      </c>
      <c r="X72" t="s">
        <v>3404</v>
      </c>
      <c r="Z72" t="s">
        <v>3405</v>
      </c>
      <c r="AB72" t="s">
        <v>3406</v>
      </c>
      <c r="AD72" t="s">
        <v>3407</v>
      </c>
      <c r="AF72" t="s">
        <v>3408</v>
      </c>
      <c r="AH72" t="s">
        <v>3409</v>
      </c>
      <c r="AJ72" t="s">
        <v>3410</v>
      </c>
      <c r="AL72" t="s">
        <v>3411</v>
      </c>
      <c r="AN72" t="s">
        <v>3412</v>
      </c>
      <c r="AP72" t="s">
        <v>3413</v>
      </c>
      <c r="AQ72" t="s">
        <v>3414</v>
      </c>
    </row>
    <row r="73" spans="1:43">
      <c r="B73" t="s">
        <v>3415</v>
      </c>
    </row>
    <row r="74" spans="1:43">
      <c r="B74" t="s">
        <v>62</v>
      </c>
      <c r="R74" t="s">
        <v>1423</v>
      </c>
    </row>
    <row r="75" spans="1:43">
      <c r="B75" t="s">
        <v>62</v>
      </c>
    </row>
    <row r="76" spans="1:43">
      <c r="B76" t="s">
        <v>3416</v>
      </c>
      <c r="R76" t="s">
        <v>1425</v>
      </c>
    </row>
    <row r="77" spans="1:43">
      <c r="B77" t="s">
        <v>31</v>
      </c>
      <c r="E77" t="s">
        <v>1426</v>
      </c>
      <c r="H77" t="s">
        <v>336</v>
      </c>
    </row>
    <row r="78" spans="1:43">
      <c r="A78" t="s">
        <v>236</v>
      </c>
      <c r="B78" t="s">
        <v>3417</v>
      </c>
      <c r="K78" t="s">
        <v>3418</v>
      </c>
      <c r="L78" t="s">
        <v>1278</v>
      </c>
      <c r="M78" t="s">
        <v>1279</v>
      </c>
      <c r="N78" t="s">
        <v>1280</v>
      </c>
      <c r="O78" t="s">
        <v>3419</v>
      </c>
      <c r="P78" t="s">
        <v>3420</v>
      </c>
      <c r="R78" t="s">
        <v>3421</v>
      </c>
      <c r="T78" t="s">
        <v>3422</v>
      </c>
      <c r="V78" t="s">
        <v>3423</v>
      </c>
      <c r="X78" t="s">
        <v>3424</v>
      </c>
      <c r="Z78" t="s">
        <v>3425</v>
      </c>
      <c r="AB78" t="s">
        <v>3426</v>
      </c>
      <c r="AD78" t="s">
        <v>3427</v>
      </c>
      <c r="AF78" t="s">
        <v>3428</v>
      </c>
      <c r="AH78" t="s">
        <v>3429</v>
      </c>
      <c r="AJ78" t="s">
        <v>830</v>
      </c>
      <c r="AL78" t="s">
        <v>3430</v>
      </c>
      <c r="AN78" t="s">
        <v>3431</v>
      </c>
      <c r="AP78" t="s">
        <v>3432</v>
      </c>
      <c r="AQ78" t="s">
        <v>3433</v>
      </c>
    </row>
    <row r="79" spans="1:43">
      <c r="A79" t="s">
        <v>311</v>
      </c>
      <c r="B79" t="s">
        <v>1525</v>
      </c>
      <c r="K79" t="s">
        <v>3434</v>
      </c>
      <c r="L79" t="s">
        <v>1278</v>
      </c>
      <c r="M79" t="s">
        <v>1279</v>
      </c>
      <c r="N79" t="s">
        <v>1280</v>
      </c>
      <c r="O79" t="s">
        <v>3435</v>
      </c>
      <c r="P79" t="s">
        <v>1528</v>
      </c>
      <c r="R79" t="s">
        <v>3436</v>
      </c>
      <c r="T79" t="s">
        <v>3437</v>
      </c>
      <c r="V79" t="s">
        <v>3438</v>
      </c>
      <c r="X79" t="s">
        <v>3439</v>
      </c>
      <c r="Z79" t="s">
        <v>3440</v>
      </c>
      <c r="AB79" t="s">
        <v>3441</v>
      </c>
      <c r="AD79" t="s">
        <v>3442</v>
      </c>
      <c r="AF79" t="s">
        <v>3443</v>
      </c>
      <c r="AH79" t="s">
        <v>3444</v>
      </c>
      <c r="AJ79" t="s">
        <v>830</v>
      </c>
      <c r="AL79" t="s">
        <v>1538</v>
      </c>
      <c r="AN79" t="s">
        <v>3445</v>
      </c>
      <c r="AP79" t="s">
        <v>1540</v>
      </c>
      <c r="AQ79" t="s">
        <v>1541</v>
      </c>
    </row>
    <row r="80" spans="1:43">
      <c r="A80" t="s">
        <v>311</v>
      </c>
      <c r="B80" t="s">
        <v>3446</v>
      </c>
      <c r="K80" t="s">
        <v>3447</v>
      </c>
      <c r="L80" t="s">
        <v>1278</v>
      </c>
      <c r="M80" t="s">
        <v>1279</v>
      </c>
      <c r="N80" t="s">
        <v>1280</v>
      </c>
      <c r="O80" t="s">
        <v>3448</v>
      </c>
      <c r="P80" t="s">
        <v>3449</v>
      </c>
      <c r="R80" t="s">
        <v>3450</v>
      </c>
      <c r="T80" t="s">
        <v>3451</v>
      </c>
      <c r="V80" t="s">
        <v>3452</v>
      </c>
      <c r="X80" t="s">
        <v>3453</v>
      </c>
      <c r="Z80" t="s">
        <v>3454</v>
      </c>
      <c r="AB80" t="s">
        <v>3455</v>
      </c>
      <c r="AD80" t="s">
        <v>3456</v>
      </c>
      <c r="AF80" t="s">
        <v>3457</v>
      </c>
      <c r="AH80" t="s">
        <v>3458</v>
      </c>
      <c r="AJ80" t="s">
        <v>830</v>
      </c>
      <c r="AL80" t="s">
        <v>3459</v>
      </c>
      <c r="AN80" t="s">
        <v>3460</v>
      </c>
      <c r="AP80" t="s">
        <v>3461</v>
      </c>
      <c r="AQ80" t="s">
        <v>3462</v>
      </c>
    </row>
    <row r="81" spans="1:43">
      <c r="A81" t="s">
        <v>311</v>
      </c>
      <c r="B81" t="s">
        <v>1524</v>
      </c>
      <c r="K81" t="s">
        <v>3463</v>
      </c>
      <c r="L81" t="s">
        <v>1278</v>
      </c>
      <c r="M81" t="s">
        <v>1279</v>
      </c>
      <c r="N81" t="s">
        <v>1280</v>
      </c>
      <c r="O81" t="s">
        <v>3464</v>
      </c>
      <c r="P81" t="s">
        <v>3465</v>
      </c>
      <c r="R81" t="s">
        <v>3466</v>
      </c>
      <c r="T81" t="s">
        <v>3467</v>
      </c>
      <c r="V81" t="s">
        <v>3468</v>
      </c>
      <c r="X81" t="s">
        <v>3469</v>
      </c>
      <c r="Z81" t="s">
        <v>3470</v>
      </c>
      <c r="AB81" t="s">
        <v>3471</v>
      </c>
      <c r="AD81" t="s">
        <v>3472</v>
      </c>
      <c r="AF81" t="s">
        <v>3473</v>
      </c>
      <c r="AH81" t="s">
        <v>3474</v>
      </c>
      <c r="AJ81" t="s">
        <v>830</v>
      </c>
      <c r="AL81" t="s">
        <v>3475</v>
      </c>
      <c r="AN81" t="s">
        <v>3476</v>
      </c>
      <c r="AP81" t="s">
        <v>3477</v>
      </c>
      <c r="AQ81" t="s">
        <v>1554</v>
      </c>
    </row>
    <row r="82" spans="1:43">
      <c r="A82" t="s">
        <v>311</v>
      </c>
      <c r="B82" t="s">
        <v>3478</v>
      </c>
      <c r="K82" t="s">
        <v>3479</v>
      </c>
      <c r="L82" t="s">
        <v>1278</v>
      </c>
      <c r="M82" t="s">
        <v>1279</v>
      </c>
      <c r="N82" t="s">
        <v>1280</v>
      </c>
      <c r="O82" t="s">
        <v>3480</v>
      </c>
      <c r="P82" t="s">
        <v>3481</v>
      </c>
      <c r="R82" t="s">
        <v>3482</v>
      </c>
      <c r="T82" t="s">
        <v>3483</v>
      </c>
      <c r="V82" t="s">
        <v>3484</v>
      </c>
      <c r="X82" t="s">
        <v>3485</v>
      </c>
      <c r="Z82" t="s">
        <v>3486</v>
      </c>
      <c r="AB82" t="s">
        <v>3487</v>
      </c>
      <c r="AD82" t="s">
        <v>3488</v>
      </c>
      <c r="AF82" t="s">
        <v>3489</v>
      </c>
      <c r="AH82" t="s">
        <v>3490</v>
      </c>
      <c r="AJ82" t="s">
        <v>830</v>
      </c>
      <c r="AL82" t="s">
        <v>3491</v>
      </c>
      <c r="AN82" t="s">
        <v>3492</v>
      </c>
      <c r="AP82" t="s">
        <v>3493</v>
      </c>
      <c r="AQ82" t="s">
        <v>3494</v>
      </c>
    </row>
    <row r="83" spans="1:43">
      <c r="A83" t="s">
        <v>311</v>
      </c>
      <c r="B83" t="s">
        <v>3495</v>
      </c>
      <c r="K83" t="s">
        <v>3496</v>
      </c>
      <c r="L83" t="s">
        <v>1278</v>
      </c>
      <c r="M83" t="s">
        <v>1279</v>
      </c>
      <c r="N83" t="s">
        <v>1280</v>
      </c>
      <c r="O83" t="s">
        <v>3497</v>
      </c>
      <c r="P83" t="s">
        <v>3498</v>
      </c>
      <c r="R83" t="s">
        <v>3499</v>
      </c>
      <c r="T83" t="s">
        <v>3500</v>
      </c>
      <c r="V83" t="s">
        <v>3501</v>
      </c>
      <c r="X83" t="s">
        <v>3502</v>
      </c>
      <c r="Z83" t="s">
        <v>3503</v>
      </c>
      <c r="AB83" t="s">
        <v>3504</v>
      </c>
      <c r="AD83" t="s">
        <v>3505</v>
      </c>
      <c r="AF83" t="s">
        <v>3506</v>
      </c>
      <c r="AH83" t="s">
        <v>3507</v>
      </c>
      <c r="AJ83" t="s">
        <v>830</v>
      </c>
      <c r="AL83" t="s">
        <v>3508</v>
      </c>
      <c r="AN83" t="s">
        <v>3509</v>
      </c>
      <c r="AP83" t="s">
        <v>3510</v>
      </c>
      <c r="AQ83" t="s">
        <v>3511</v>
      </c>
    </row>
    <row r="84" spans="1:43">
      <c r="A84" t="s">
        <v>311</v>
      </c>
      <c r="B84" t="s">
        <v>1558</v>
      </c>
      <c r="K84" t="s">
        <v>3512</v>
      </c>
      <c r="L84" t="s">
        <v>1278</v>
      </c>
      <c r="M84" t="s">
        <v>1279</v>
      </c>
      <c r="N84" t="s">
        <v>1280</v>
      </c>
      <c r="O84" t="s">
        <v>3513</v>
      </c>
      <c r="P84" t="s">
        <v>1561</v>
      </c>
      <c r="R84" t="s">
        <v>3514</v>
      </c>
      <c r="T84" t="s">
        <v>3515</v>
      </c>
      <c r="V84" t="s">
        <v>3516</v>
      </c>
      <c r="X84" t="s">
        <v>3517</v>
      </c>
      <c r="Z84" t="s">
        <v>3518</v>
      </c>
      <c r="AB84" t="s">
        <v>3519</v>
      </c>
      <c r="AD84" t="s">
        <v>3520</v>
      </c>
      <c r="AF84" t="s">
        <v>3521</v>
      </c>
      <c r="AH84" t="s">
        <v>3522</v>
      </c>
      <c r="AJ84" t="s">
        <v>830</v>
      </c>
      <c r="AL84" t="s">
        <v>1571</v>
      </c>
      <c r="AN84" t="s">
        <v>3523</v>
      </c>
      <c r="AP84" t="s">
        <v>1573</v>
      </c>
      <c r="AQ84" t="s">
        <v>1574</v>
      </c>
    </row>
    <row r="85" spans="1:43">
      <c r="A85" t="s">
        <v>311</v>
      </c>
      <c r="B85" t="s">
        <v>3524</v>
      </c>
      <c r="K85" t="s">
        <v>3525</v>
      </c>
      <c r="L85" t="s">
        <v>1278</v>
      </c>
      <c r="M85" t="s">
        <v>1279</v>
      </c>
      <c r="N85" t="s">
        <v>1280</v>
      </c>
      <c r="O85" t="s">
        <v>3526</v>
      </c>
      <c r="P85" t="s">
        <v>3527</v>
      </c>
      <c r="R85" t="s">
        <v>3528</v>
      </c>
      <c r="T85" t="s">
        <v>3529</v>
      </c>
      <c r="V85" t="s">
        <v>3530</v>
      </c>
      <c r="X85" t="s">
        <v>3531</v>
      </c>
      <c r="Z85" t="s">
        <v>3532</v>
      </c>
      <c r="AB85" t="s">
        <v>3533</v>
      </c>
      <c r="AD85" t="s">
        <v>3534</v>
      </c>
      <c r="AF85" t="s">
        <v>3535</v>
      </c>
      <c r="AH85" t="s">
        <v>3536</v>
      </c>
      <c r="AJ85" t="s">
        <v>830</v>
      </c>
      <c r="AL85" t="s">
        <v>3537</v>
      </c>
      <c r="AN85" t="s">
        <v>3538</v>
      </c>
      <c r="AP85" t="s">
        <v>3539</v>
      </c>
      <c r="AQ85" t="s">
        <v>3540</v>
      </c>
    </row>
    <row r="86" spans="1:43">
      <c r="A86" t="s">
        <v>311</v>
      </c>
      <c r="B86" t="s">
        <v>1557</v>
      </c>
      <c r="K86" t="s">
        <v>3541</v>
      </c>
      <c r="L86" t="s">
        <v>1278</v>
      </c>
      <c r="M86" t="s">
        <v>1279</v>
      </c>
      <c r="N86" t="s">
        <v>1280</v>
      </c>
      <c r="O86" t="s">
        <v>3542</v>
      </c>
      <c r="P86" t="s">
        <v>3543</v>
      </c>
      <c r="R86" t="s">
        <v>3544</v>
      </c>
      <c r="T86" t="s">
        <v>3545</v>
      </c>
      <c r="V86" t="s">
        <v>3546</v>
      </c>
      <c r="X86" t="s">
        <v>3547</v>
      </c>
      <c r="Z86" t="s">
        <v>3548</v>
      </c>
      <c r="AB86" t="s">
        <v>3549</v>
      </c>
      <c r="AD86" t="s">
        <v>3550</v>
      </c>
      <c r="AF86" t="s">
        <v>3551</v>
      </c>
      <c r="AH86" t="s">
        <v>3552</v>
      </c>
      <c r="AJ86" t="s">
        <v>830</v>
      </c>
      <c r="AL86" t="s">
        <v>3553</v>
      </c>
      <c r="AN86" t="s">
        <v>3554</v>
      </c>
      <c r="AP86" t="s">
        <v>3555</v>
      </c>
      <c r="AQ86" t="s">
        <v>1587</v>
      </c>
    </row>
    <row r="87" spans="1:43">
      <c r="A87" t="s">
        <v>311</v>
      </c>
      <c r="B87" t="s">
        <v>3556</v>
      </c>
      <c r="K87" t="s">
        <v>3557</v>
      </c>
      <c r="L87" t="s">
        <v>1278</v>
      </c>
      <c r="M87" t="s">
        <v>1279</v>
      </c>
      <c r="N87" t="s">
        <v>1280</v>
      </c>
      <c r="O87" t="s">
        <v>3558</v>
      </c>
      <c r="P87" t="s">
        <v>3559</v>
      </c>
      <c r="R87" t="s">
        <v>3560</v>
      </c>
      <c r="T87" t="s">
        <v>3561</v>
      </c>
      <c r="V87" t="s">
        <v>3562</v>
      </c>
      <c r="X87" t="s">
        <v>3563</v>
      </c>
      <c r="Z87" t="s">
        <v>3564</v>
      </c>
      <c r="AB87" t="s">
        <v>3565</v>
      </c>
      <c r="AD87" t="s">
        <v>3566</v>
      </c>
      <c r="AF87" t="s">
        <v>3567</v>
      </c>
      <c r="AH87" t="s">
        <v>3568</v>
      </c>
      <c r="AJ87" t="s">
        <v>830</v>
      </c>
      <c r="AL87" t="s">
        <v>3569</v>
      </c>
      <c r="AN87" t="s">
        <v>3570</v>
      </c>
      <c r="AP87" t="s">
        <v>3571</v>
      </c>
      <c r="AQ87" t="s">
        <v>3572</v>
      </c>
    </row>
    <row r="88" spans="1:43">
      <c r="A88" t="s">
        <v>311</v>
      </c>
      <c r="B88" t="s">
        <v>1589</v>
      </c>
      <c r="K88" t="s">
        <v>3573</v>
      </c>
      <c r="L88" t="s">
        <v>1278</v>
      </c>
      <c r="M88" t="s">
        <v>1279</v>
      </c>
      <c r="N88" t="s">
        <v>1280</v>
      </c>
      <c r="O88" t="s">
        <v>3574</v>
      </c>
      <c r="P88" t="s">
        <v>3575</v>
      </c>
      <c r="R88" t="s">
        <v>3576</v>
      </c>
      <c r="T88" t="s">
        <v>3577</v>
      </c>
      <c r="V88" t="s">
        <v>3578</v>
      </c>
      <c r="X88" t="s">
        <v>3579</v>
      </c>
      <c r="Z88" t="s">
        <v>3580</v>
      </c>
      <c r="AB88" t="s">
        <v>3581</v>
      </c>
      <c r="AD88" t="s">
        <v>3582</v>
      </c>
      <c r="AF88" t="s">
        <v>3583</v>
      </c>
      <c r="AH88" t="s">
        <v>3584</v>
      </c>
      <c r="AJ88" t="s">
        <v>830</v>
      </c>
      <c r="AL88" t="s">
        <v>3585</v>
      </c>
      <c r="AN88" t="s">
        <v>3586</v>
      </c>
      <c r="AP88" t="s">
        <v>3587</v>
      </c>
      <c r="AQ88" t="s">
        <v>1603</v>
      </c>
    </row>
    <row r="89" spans="1:43">
      <c r="A89" t="s">
        <v>311</v>
      </c>
      <c r="B89" t="s">
        <v>3588</v>
      </c>
      <c r="K89" t="s">
        <v>3589</v>
      </c>
      <c r="L89" t="s">
        <v>1278</v>
      </c>
      <c r="M89" t="s">
        <v>1279</v>
      </c>
      <c r="N89" t="s">
        <v>1280</v>
      </c>
      <c r="O89" t="s">
        <v>3590</v>
      </c>
      <c r="P89" t="s">
        <v>3591</v>
      </c>
      <c r="R89" t="s">
        <v>3592</v>
      </c>
      <c r="T89" t="s">
        <v>3593</v>
      </c>
      <c r="V89" t="s">
        <v>3594</v>
      </c>
      <c r="X89" t="s">
        <v>3595</v>
      </c>
      <c r="Z89" t="s">
        <v>3596</v>
      </c>
      <c r="AB89" t="s">
        <v>3597</v>
      </c>
      <c r="AD89" t="s">
        <v>3598</v>
      </c>
      <c r="AF89" t="s">
        <v>3599</v>
      </c>
      <c r="AH89" t="s">
        <v>3600</v>
      </c>
      <c r="AJ89" t="s">
        <v>830</v>
      </c>
      <c r="AL89" t="s">
        <v>3601</v>
      </c>
      <c r="AN89" t="s">
        <v>3602</v>
      </c>
      <c r="AP89" t="s">
        <v>3603</v>
      </c>
      <c r="AQ89" t="s">
        <v>3604</v>
      </c>
    </row>
    <row r="90" spans="1:43">
      <c r="A90" t="s">
        <v>311</v>
      </c>
      <c r="B90" t="s">
        <v>3605</v>
      </c>
      <c r="K90" t="s">
        <v>3606</v>
      </c>
      <c r="L90" t="s">
        <v>1278</v>
      </c>
      <c r="M90" t="s">
        <v>1279</v>
      </c>
      <c r="N90" t="s">
        <v>1280</v>
      </c>
      <c r="O90" t="s">
        <v>3607</v>
      </c>
      <c r="P90" t="s">
        <v>3608</v>
      </c>
      <c r="R90" t="s">
        <v>3609</v>
      </c>
      <c r="T90" t="s">
        <v>3610</v>
      </c>
      <c r="V90" t="s">
        <v>3611</v>
      </c>
      <c r="X90" t="s">
        <v>3612</v>
      </c>
      <c r="Z90" t="s">
        <v>3613</v>
      </c>
      <c r="AB90" t="s">
        <v>3614</v>
      </c>
      <c r="AD90" t="s">
        <v>3615</v>
      </c>
      <c r="AF90" t="s">
        <v>3616</v>
      </c>
      <c r="AH90" t="s">
        <v>3617</v>
      </c>
      <c r="AJ90" t="s">
        <v>830</v>
      </c>
      <c r="AL90" t="s">
        <v>3618</v>
      </c>
      <c r="AN90" t="s">
        <v>3619</v>
      </c>
      <c r="AP90" t="s">
        <v>3620</v>
      </c>
      <c r="AQ90" t="s">
        <v>3621</v>
      </c>
    </row>
    <row r="91" spans="1:43">
      <c r="A91" t="s">
        <v>311</v>
      </c>
      <c r="B91" t="s">
        <v>1607</v>
      </c>
      <c r="K91" t="s">
        <v>3622</v>
      </c>
      <c r="L91" t="s">
        <v>1278</v>
      </c>
      <c r="M91" t="s">
        <v>1279</v>
      </c>
      <c r="N91" t="s">
        <v>1280</v>
      </c>
      <c r="O91" t="s">
        <v>3623</v>
      </c>
      <c r="P91" t="s">
        <v>1610</v>
      </c>
      <c r="R91" t="s">
        <v>3624</v>
      </c>
      <c r="T91" t="s">
        <v>3625</v>
      </c>
      <c r="V91" t="s">
        <v>3626</v>
      </c>
      <c r="X91" t="s">
        <v>3627</v>
      </c>
      <c r="Z91" t="s">
        <v>3628</v>
      </c>
      <c r="AB91" t="s">
        <v>3629</v>
      </c>
      <c r="AD91" t="s">
        <v>3630</v>
      </c>
      <c r="AF91" t="s">
        <v>3631</v>
      </c>
      <c r="AH91" t="s">
        <v>3632</v>
      </c>
      <c r="AJ91" t="s">
        <v>830</v>
      </c>
      <c r="AL91" t="s">
        <v>1620</v>
      </c>
      <c r="AN91" t="s">
        <v>3633</v>
      </c>
      <c r="AP91" t="s">
        <v>1622</v>
      </c>
      <c r="AQ91" t="s">
        <v>1623</v>
      </c>
    </row>
    <row r="92" spans="1:43">
      <c r="A92" t="s">
        <v>311</v>
      </c>
      <c r="B92" t="s">
        <v>3634</v>
      </c>
      <c r="K92" t="s">
        <v>3635</v>
      </c>
      <c r="L92" t="s">
        <v>1278</v>
      </c>
      <c r="M92" t="s">
        <v>1279</v>
      </c>
      <c r="N92" t="s">
        <v>1280</v>
      </c>
      <c r="O92" t="s">
        <v>3636</v>
      </c>
      <c r="P92" t="s">
        <v>3637</v>
      </c>
      <c r="R92" t="s">
        <v>3638</v>
      </c>
      <c r="T92" t="s">
        <v>3639</v>
      </c>
      <c r="V92" t="s">
        <v>3640</v>
      </c>
      <c r="X92" t="s">
        <v>3641</v>
      </c>
      <c r="Z92" t="s">
        <v>3642</v>
      </c>
      <c r="AB92" t="s">
        <v>3643</v>
      </c>
      <c r="AD92" t="s">
        <v>3644</v>
      </c>
      <c r="AF92" t="s">
        <v>3645</v>
      </c>
      <c r="AH92" t="s">
        <v>3646</v>
      </c>
      <c r="AJ92" t="s">
        <v>830</v>
      </c>
      <c r="AL92" t="s">
        <v>3647</v>
      </c>
      <c r="AN92" t="s">
        <v>3648</v>
      </c>
      <c r="AP92" t="s">
        <v>3649</v>
      </c>
      <c r="AQ92" t="s">
        <v>3650</v>
      </c>
    </row>
    <row r="93" spans="1:43">
      <c r="A93" t="s">
        <v>311</v>
      </c>
      <c r="B93" t="s">
        <v>1606</v>
      </c>
      <c r="K93" t="s">
        <v>3651</v>
      </c>
      <c r="L93" t="s">
        <v>1278</v>
      </c>
      <c r="M93" t="s">
        <v>1279</v>
      </c>
      <c r="N93" t="s">
        <v>1280</v>
      </c>
      <c r="O93" t="s">
        <v>3652</v>
      </c>
      <c r="P93" t="s">
        <v>3653</v>
      </c>
      <c r="R93" t="s">
        <v>3654</v>
      </c>
      <c r="T93" t="s">
        <v>3655</v>
      </c>
      <c r="V93" t="s">
        <v>3656</v>
      </c>
      <c r="X93" t="s">
        <v>3657</v>
      </c>
      <c r="Z93" t="s">
        <v>3658</v>
      </c>
      <c r="AB93" t="s">
        <v>3659</v>
      </c>
      <c r="AD93" t="s">
        <v>3660</v>
      </c>
      <c r="AF93" t="s">
        <v>3661</v>
      </c>
      <c r="AH93" t="s">
        <v>3662</v>
      </c>
      <c r="AJ93" t="s">
        <v>830</v>
      </c>
      <c r="AL93" t="s">
        <v>3663</v>
      </c>
      <c r="AN93" t="s">
        <v>3664</v>
      </c>
      <c r="AP93" t="s">
        <v>3665</v>
      </c>
      <c r="AQ93" t="s">
        <v>1636</v>
      </c>
    </row>
    <row r="94" spans="1:43">
      <c r="A94" t="s">
        <v>311</v>
      </c>
      <c r="B94" t="s">
        <v>3666</v>
      </c>
      <c r="K94" t="s">
        <v>3667</v>
      </c>
      <c r="L94" t="s">
        <v>1278</v>
      </c>
      <c r="M94" t="s">
        <v>1279</v>
      </c>
      <c r="N94" t="s">
        <v>1280</v>
      </c>
      <c r="O94" t="s">
        <v>3668</v>
      </c>
      <c r="P94" t="s">
        <v>3669</v>
      </c>
      <c r="R94" t="s">
        <v>3670</v>
      </c>
      <c r="T94" t="s">
        <v>3671</v>
      </c>
      <c r="V94" t="s">
        <v>3672</v>
      </c>
      <c r="X94" t="s">
        <v>3673</v>
      </c>
      <c r="Z94" t="s">
        <v>3674</v>
      </c>
      <c r="AB94" t="s">
        <v>3675</v>
      </c>
      <c r="AD94" t="s">
        <v>3676</v>
      </c>
      <c r="AF94" t="s">
        <v>3677</v>
      </c>
      <c r="AH94" t="s">
        <v>3678</v>
      </c>
      <c r="AJ94" t="s">
        <v>830</v>
      </c>
      <c r="AL94" t="s">
        <v>3679</v>
      </c>
      <c r="AN94" t="s">
        <v>3680</v>
      </c>
      <c r="AP94" t="s">
        <v>3681</v>
      </c>
      <c r="AQ94" t="s">
        <v>3682</v>
      </c>
    </row>
    <row r="95" spans="1:43">
      <c r="A95" t="s">
        <v>311</v>
      </c>
      <c r="B95" t="s">
        <v>3683</v>
      </c>
      <c r="K95" t="s">
        <v>3684</v>
      </c>
      <c r="L95" t="s">
        <v>1278</v>
      </c>
      <c r="M95" t="s">
        <v>1279</v>
      </c>
      <c r="N95" t="s">
        <v>1280</v>
      </c>
      <c r="O95" t="s">
        <v>3685</v>
      </c>
      <c r="P95" t="s">
        <v>3686</v>
      </c>
      <c r="R95" t="s">
        <v>3687</v>
      </c>
      <c r="T95" t="s">
        <v>3688</v>
      </c>
      <c r="V95" t="s">
        <v>3689</v>
      </c>
      <c r="X95" t="s">
        <v>3690</v>
      </c>
      <c r="Z95" t="s">
        <v>3691</v>
      </c>
      <c r="AB95" t="s">
        <v>3692</v>
      </c>
      <c r="AD95" t="s">
        <v>3693</v>
      </c>
      <c r="AF95" t="s">
        <v>3694</v>
      </c>
      <c r="AH95" t="s">
        <v>3695</v>
      </c>
      <c r="AJ95" t="s">
        <v>830</v>
      </c>
      <c r="AL95" t="s">
        <v>3696</v>
      </c>
      <c r="AN95" t="s">
        <v>3697</v>
      </c>
      <c r="AP95" t="s">
        <v>3698</v>
      </c>
      <c r="AQ95" t="s">
        <v>1652</v>
      </c>
    </row>
    <row r="96" spans="1:43">
      <c r="A96" t="s">
        <v>311</v>
      </c>
      <c r="B96" t="s">
        <v>3699</v>
      </c>
      <c r="K96" t="s">
        <v>3700</v>
      </c>
      <c r="L96" t="s">
        <v>1278</v>
      </c>
      <c r="M96" t="s">
        <v>1279</v>
      </c>
      <c r="N96" t="s">
        <v>1280</v>
      </c>
      <c r="O96" t="s">
        <v>3701</v>
      </c>
      <c r="P96" t="s">
        <v>3702</v>
      </c>
      <c r="R96" t="s">
        <v>3703</v>
      </c>
      <c r="T96" t="s">
        <v>3704</v>
      </c>
      <c r="V96" t="s">
        <v>3705</v>
      </c>
      <c r="X96" t="s">
        <v>3706</v>
      </c>
      <c r="Z96" t="s">
        <v>3707</v>
      </c>
      <c r="AB96" t="s">
        <v>3708</v>
      </c>
      <c r="AD96" t="s">
        <v>3709</v>
      </c>
      <c r="AF96" t="s">
        <v>3710</v>
      </c>
      <c r="AH96" t="s">
        <v>3711</v>
      </c>
      <c r="AJ96" t="s">
        <v>830</v>
      </c>
      <c r="AL96" t="s">
        <v>3712</v>
      </c>
      <c r="AN96" t="s">
        <v>3713</v>
      </c>
      <c r="AP96" t="s">
        <v>3714</v>
      </c>
      <c r="AQ96" t="s">
        <v>3715</v>
      </c>
    </row>
    <row r="97" spans="1:58">
      <c r="A97" t="s">
        <v>311</v>
      </c>
      <c r="B97" t="s">
        <v>3716</v>
      </c>
      <c r="K97" t="s">
        <v>3717</v>
      </c>
      <c r="L97" t="s">
        <v>1278</v>
      </c>
      <c r="M97" t="s">
        <v>1279</v>
      </c>
      <c r="N97" t="s">
        <v>1280</v>
      </c>
      <c r="O97" t="s">
        <v>3718</v>
      </c>
      <c r="P97" t="s">
        <v>3719</v>
      </c>
      <c r="R97" t="s">
        <v>3720</v>
      </c>
      <c r="T97" t="s">
        <v>3721</v>
      </c>
      <c r="V97" t="s">
        <v>3722</v>
      </c>
      <c r="X97" t="s">
        <v>3723</v>
      </c>
      <c r="Z97" t="s">
        <v>3724</v>
      </c>
      <c r="AB97" t="s">
        <v>3725</v>
      </c>
      <c r="AD97" t="s">
        <v>3726</v>
      </c>
      <c r="AF97" t="s">
        <v>3727</v>
      </c>
      <c r="AH97" t="s">
        <v>3728</v>
      </c>
      <c r="AJ97" t="s">
        <v>830</v>
      </c>
      <c r="AL97" t="s">
        <v>3729</v>
      </c>
      <c r="AN97" t="s">
        <v>3730</v>
      </c>
      <c r="AP97" t="s">
        <v>3731</v>
      </c>
      <c r="AQ97" t="s">
        <v>3732</v>
      </c>
    </row>
    <row r="98" spans="1:58">
      <c r="A98" t="s">
        <v>311</v>
      </c>
      <c r="B98" t="s">
        <v>3733</v>
      </c>
      <c r="K98" t="s">
        <v>3734</v>
      </c>
      <c r="L98" t="s">
        <v>1278</v>
      </c>
      <c r="M98" t="s">
        <v>1279</v>
      </c>
      <c r="N98" t="s">
        <v>1280</v>
      </c>
      <c r="O98" t="s">
        <v>3735</v>
      </c>
      <c r="P98" t="s">
        <v>3736</v>
      </c>
      <c r="R98" t="s">
        <v>3737</v>
      </c>
      <c r="T98" t="s">
        <v>3738</v>
      </c>
      <c r="V98" t="s">
        <v>3739</v>
      </c>
      <c r="X98" t="s">
        <v>3740</v>
      </c>
      <c r="Z98" t="s">
        <v>3741</v>
      </c>
      <c r="AB98" t="s">
        <v>3742</v>
      </c>
      <c r="AD98" t="s">
        <v>3743</v>
      </c>
      <c r="AF98" t="s">
        <v>3744</v>
      </c>
      <c r="AH98" t="s">
        <v>3745</v>
      </c>
      <c r="AJ98" t="s">
        <v>830</v>
      </c>
      <c r="AL98" t="s">
        <v>3746</v>
      </c>
      <c r="AN98" t="s">
        <v>3747</v>
      </c>
      <c r="AP98" t="s">
        <v>3748</v>
      </c>
      <c r="AQ98" t="s">
        <v>1668</v>
      </c>
    </row>
    <row r="99" spans="1:58">
      <c r="A99" t="s">
        <v>311</v>
      </c>
      <c r="B99" t="s">
        <v>3749</v>
      </c>
      <c r="K99" t="s">
        <v>3750</v>
      </c>
      <c r="L99" t="s">
        <v>1278</v>
      </c>
      <c r="M99" t="s">
        <v>1279</v>
      </c>
      <c r="N99" t="s">
        <v>1280</v>
      </c>
      <c r="O99" t="s">
        <v>3751</v>
      </c>
      <c r="P99" t="s">
        <v>3752</v>
      </c>
      <c r="R99" t="s">
        <v>3753</v>
      </c>
      <c r="T99" t="s">
        <v>3754</v>
      </c>
      <c r="V99" t="s">
        <v>3755</v>
      </c>
      <c r="X99" t="s">
        <v>3756</v>
      </c>
      <c r="Z99" t="s">
        <v>3757</v>
      </c>
      <c r="AB99" t="s">
        <v>3758</v>
      </c>
      <c r="AD99" t="s">
        <v>3759</v>
      </c>
      <c r="AF99" t="s">
        <v>3760</v>
      </c>
      <c r="AH99" t="s">
        <v>3761</v>
      </c>
      <c r="AJ99" t="s">
        <v>830</v>
      </c>
      <c r="AL99" t="s">
        <v>3762</v>
      </c>
      <c r="AN99" t="s">
        <v>3763</v>
      </c>
      <c r="AP99" t="s">
        <v>3764</v>
      </c>
      <c r="AQ99" t="s">
        <v>3765</v>
      </c>
    </row>
    <row r="100" spans="1:58">
      <c r="A100" t="s">
        <v>311</v>
      </c>
      <c r="B100" t="s">
        <v>3766</v>
      </c>
      <c r="K100" t="s">
        <v>3767</v>
      </c>
      <c r="L100" t="s">
        <v>1278</v>
      </c>
      <c r="M100" t="s">
        <v>1279</v>
      </c>
      <c r="N100" t="s">
        <v>1280</v>
      </c>
      <c r="O100" t="s">
        <v>3768</v>
      </c>
      <c r="P100" t="s">
        <v>3769</v>
      </c>
      <c r="R100" t="s">
        <v>3770</v>
      </c>
      <c r="T100" t="s">
        <v>3771</v>
      </c>
      <c r="V100" t="s">
        <v>3772</v>
      </c>
      <c r="X100" t="s">
        <v>3773</v>
      </c>
      <c r="Z100" t="s">
        <v>3774</v>
      </c>
      <c r="AB100" t="s">
        <v>3775</v>
      </c>
      <c r="AD100" t="s">
        <v>3776</v>
      </c>
      <c r="AF100" t="s">
        <v>3777</v>
      </c>
      <c r="AH100" t="s">
        <v>3778</v>
      </c>
      <c r="AJ100" t="s">
        <v>830</v>
      </c>
      <c r="AL100" t="s">
        <v>3779</v>
      </c>
      <c r="AN100" t="s">
        <v>3780</v>
      </c>
      <c r="AP100" t="s">
        <v>3781</v>
      </c>
      <c r="AQ100" t="s">
        <v>3782</v>
      </c>
    </row>
    <row r="101" spans="1:58">
      <c r="A101" t="s">
        <v>311</v>
      </c>
      <c r="B101" t="s">
        <v>3783</v>
      </c>
      <c r="K101" t="s">
        <v>3784</v>
      </c>
      <c r="L101" t="s">
        <v>1278</v>
      </c>
      <c r="M101" t="s">
        <v>1279</v>
      </c>
      <c r="N101" t="s">
        <v>1280</v>
      </c>
      <c r="O101" t="s">
        <v>3785</v>
      </c>
      <c r="P101" t="s">
        <v>3786</v>
      </c>
      <c r="R101" t="s">
        <v>3787</v>
      </c>
      <c r="T101" t="s">
        <v>3788</v>
      </c>
      <c r="V101" t="s">
        <v>3789</v>
      </c>
      <c r="X101" t="s">
        <v>3790</v>
      </c>
      <c r="Z101" t="s">
        <v>3791</v>
      </c>
      <c r="AB101" t="s">
        <v>3792</v>
      </c>
      <c r="AD101" t="s">
        <v>3793</v>
      </c>
      <c r="AF101" t="s">
        <v>3794</v>
      </c>
      <c r="AH101" t="s">
        <v>3795</v>
      </c>
      <c r="AJ101" t="s">
        <v>830</v>
      </c>
      <c r="AL101" t="s">
        <v>3796</v>
      </c>
      <c r="AN101" t="s">
        <v>3797</v>
      </c>
      <c r="AP101" t="s">
        <v>3798</v>
      </c>
      <c r="AQ101" t="s">
        <v>3799</v>
      </c>
    </row>
    <row r="102" spans="1:58">
      <c r="B102" t="s">
        <v>3416</v>
      </c>
    </row>
    <row r="103" spans="1:58">
      <c r="B103" t="s">
        <v>3800</v>
      </c>
      <c r="R103" t="s">
        <v>3801</v>
      </c>
      <c r="T103" t="s">
        <v>3802</v>
      </c>
      <c r="V103" t="s">
        <v>3803</v>
      </c>
      <c r="X103" t="s">
        <v>3804</v>
      </c>
      <c r="Z103" t="s">
        <v>3805</v>
      </c>
      <c r="AB103" t="s">
        <v>3806</v>
      </c>
      <c r="AD103" t="s">
        <v>3807</v>
      </c>
      <c r="AF103" t="s">
        <v>3808</v>
      </c>
      <c r="AH103" t="s">
        <v>3809</v>
      </c>
      <c r="AJ103" t="s">
        <v>3810</v>
      </c>
      <c r="AL103" t="s">
        <v>3811</v>
      </c>
      <c r="AN103" t="s">
        <v>3812</v>
      </c>
      <c r="AP103" t="s">
        <v>3813</v>
      </c>
      <c r="AQ103" t="s">
        <v>3814</v>
      </c>
    </row>
    <row r="104" spans="1:58">
      <c r="B104" t="s">
        <v>3416</v>
      </c>
    </row>
    <row r="105" spans="1:58">
      <c r="B105" t="s">
        <v>31</v>
      </c>
      <c r="E105" t="s">
        <v>1426</v>
      </c>
      <c r="H105" t="s">
        <v>364</v>
      </c>
      <c r="AH105" t="s">
        <v>3815</v>
      </c>
    </row>
    <row r="106" spans="1:58">
      <c r="B106" t="s">
        <v>31</v>
      </c>
    </row>
    <row r="107" spans="1:58">
      <c r="B107" t="s">
        <v>31</v>
      </c>
      <c r="H107" t="s">
        <v>365</v>
      </c>
      <c r="I107" t="s">
        <v>3816</v>
      </c>
    </row>
    <row r="108" spans="1:58">
      <c r="B108" t="s">
        <v>3817</v>
      </c>
      <c r="I108" t="s">
        <v>3818</v>
      </c>
      <c r="R108" t="s">
        <v>3819</v>
      </c>
      <c r="AU108" t="s">
        <v>301</v>
      </c>
      <c r="AV108" t="s">
        <v>1319</v>
      </c>
      <c r="AW108" t="s">
        <v>1320</v>
      </c>
      <c r="AX108" t="s">
        <v>1321</v>
      </c>
      <c r="AY108" t="s">
        <v>1322</v>
      </c>
      <c r="AZ108" t="s">
        <v>327</v>
      </c>
      <c r="BA108" t="s">
        <v>328</v>
      </c>
      <c r="BB108" t="s">
        <v>329</v>
      </c>
      <c r="BC108" t="s">
        <v>330</v>
      </c>
      <c r="BD108" t="s">
        <v>289</v>
      </c>
      <c r="BE108" t="s">
        <v>331</v>
      </c>
      <c r="BF108" t="s">
        <v>332</v>
      </c>
    </row>
    <row r="109" spans="1:58">
      <c r="A109" t="s">
        <v>236</v>
      </c>
      <c r="B109" t="s">
        <v>3820</v>
      </c>
      <c r="I109" t="s">
        <v>3821</v>
      </c>
      <c r="K109" t="s">
        <v>3822</v>
      </c>
      <c r="L109" t="s">
        <v>1278</v>
      </c>
      <c r="M109" t="s">
        <v>1279</v>
      </c>
      <c r="N109" t="s">
        <v>1280</v>
      </c>
      <c r="O109" t="s">
        <v>3823</v>
      </c>
      <c r="P109" t="s">
        <v>3824</v>
      </c>
      <c r="R109" t="s">
        <v>3825</v>
      </c>
      <c r="T109" t="s">
        <v>3826</v>
      </c>
      <c r="V109" t="s">
        <v>3827</v>
      </c>
      <c r="X109" t="s">
        <v>3828</v>
      </c>
      <c r="Z109" t="s">
        <v>3829</v>
      </c>
      <c r="AB109" t="s">
        <v>3830</v>
      </c>
      <c r="AD109" t="s">
        <v>3831</v>
      </c>
      <c r="AF109" t="s">
        <v>3832</v>
      </c>
      <c r="AH109" t="s">
        <v>3833</v>
      </c>
      <c r="AJ109" t="s">
        <v>830</v>
      </c>
      <c r="AL109" t="s">
        <v>3834</v>
      </c>
      <c r="AN109" t="s">
        <v>3835</v>
      </c>
      <c r="AP109" t="s">
        <v>3836</v>
      </c>
      <c r="AQ109" t="s">
        <v>1741</v>
      </c>
    </row>
    <row r="110" spans="1:58">
      <c r="B110" t="s">
        <v>31</v>
      </c>
      <c r="I110" t="s">
        <v>3837</v>
      </c>
    </row>
    <row r="111" spans="1:58">
      <c r="B111" t="s">
        <v>3817</v>
      </c>
      <c r="I111" t="s">
        <v>2951</v>
      </c>
      <c r="R111" t="s">
        <v>3838</v>
      </c>
      <c r="T111" t="s">
        <v>3839</v>
      </c>
      <c r="V111" t="s">
        <v>3840</v>
      </c>
      <c r="X111" t="s">
        <v>3841</v>
      </c>
      <c r="Z111" t="s">
        <v>3842</v>
      </c>
      <c r="AB111" t="s">
        <v>3843</v>
      </c>
      <c r="AD111" t="s">
        <v>3844</v>
      </c>
      <c r="AF111" t="s">
        <v>3845</v>
      </c>
      <c r="AH111" t="s">
        <v>3846</v>
      </c>
      <c r="AJ111" t="s">
        <v>3847</v>
      </c>
      <c r="AL111" t="s">
        <v>3848</v>
      </c>
      <c r="AN111" t="s">
        <v>3849</v>
      </c>
      <c r="AP111" t="s">
        <v>3850</v>
      </c>
      <c r="AQ111" t="s">
        <v>1755</v>
      </c>
      <c r="AU111" t="s">
        <v>3851</v>
      </c>
      <c r="AV111" t="s">
        <v>3852</v>
      </c>
      <c r="AW111" t="s">
        <v>3853</v>
      </c>
      <c r="AX111" t="s">
        <v>3854</v>
      </c>
      <c r="AY111" t="s">
        <v>3855</v>
      </c>
      <c r="AZ111" t="s">
        <v>3856</v>
      </c>
      <c r="BA111" t="s">
        <v>3857</v>
      </c>
      <c r="BB111" t="s">
        <v>3858</v>
      </c>
      <c r="BC111" t="s">
        <v>3859</v>
      </c>
      <c r="BD111" t="s">
        <v>3860</v>
      </c>
      <c r="BE111" t="s">
        <v>3861</v>
      </c>
      <c r="BF111" t="s">
        <v>3862</v>
      </c>
    </row>
    <row r="112" spans="1:58">
      <c r="B112" t="s">
        <v>3863</v>
      </c>
      <c r="I112" t="s">
        <v>3864</v>
      </c>
    </row>
    <row r="113" spans="1:58">
      <c r="A113" t="s">
        <v>76</v>
      </c>
      <c r="B113" t="s">
        <v>31</v>
      </c>
      <c r="H113" t="s">
        <v>365</v>
      </c>
      <c r="I113" t="s">
        <v>3865</v>
      </c>
    </row>
    <row r="114" spans="1:58">
      <c r="A114" t="s">
        <v>76</v>
      </c>
      <c r="B114" t="s">
        <v>3866</v>
      </c>
      <c r="I114" t="s">
        <v>3867</v>
      </c>
      <c r="R114" t="s">
        <v>3868</v>
      </c>
      <c r="AU114" t="s">
        <v>301</v>
      </c>
      <c r="AV114" t="s">
        <v>1319</v>
      </c>
      <c r="AW114" t="s">
        <v>1320</v>
      </c>
      <c r="AX114" t="s">
        <v>1321</v>
      </c>
      <c r="AY114" t="s">
        <v>1322</v>
      </c>
      <c r="AZ114" t="s">
        <v>327</v>
      </c>
      <c r="BA114" t="s">
        <v>328</v>
      </c>
      <c r="BB114" t="s">
        <v>329</v>
      </c>
      <c r="BC114" t="s">
        <v>330</v>
      </c>
      <c r="BD114" t="s">
        <v>289</v>
      </c>
      <c r="BE114" t="s">
        <v>331</v>
      </c>
      <c r="BF114" t="s">
        <v>332</v>
      </c>
    </row>
    <row r="115" spans="1:58">
      <c r="A115" t="s">
        <v>311</v>
      </c>
      <c r="B115" t="s">
        <v>3869</v>
      </c>
      <c r="I115" t="s">
        <v>3870</v>
      </c>
      <c r="K115" t="s">
        <v>3871</v>
      </c>
      <c r="L115" t="s">
        <v>1278</v>
      </c>
      <c r="M115" t="s">
        <v>1279</v>
      </c>
      <c r="N115" t="s">
        <v>1280</v>
      </c>
      <c r="O115" t="s">
        <v>3872</v>
      </c>
      <c r="P115" t="s">
        <v>3873</v>
      </c>
      <c r="R115" t="s">
        <v>3874</v>
      </c>
      <c r="T115" t="s">
        <v>3875</v>
      </c>
      <c r="V115" t="s">
        <v>3876</v>
      </c>
      <c r="X115" t="s">
        <v>3877</v>
      </c>
      <c r="Z115" t="s">
        <v>3878</v>
      </c>
      <c r="AB115" t="s">
        <v>3879</v>
      </c>
      <c r="AD115" t="s">
        <v>3880</v>
      </c>
      <c r="AF115" t="s">
        <v>3881</v>
      </c>
      <c r="AH115" t="s">
        <v>3882</v>
      </c>
      <c r="AJ115" t="s">
        <v>830</v>
      </c>
      <c r="AL115" t="s">
        <v>3883</v>
      </c>
      <c r="AN115" t="s">
        <v>3884</v>
      </c>
      <c r="AP115" t="s">
        <v>3885</v>
      </c>
      <c r="AQ115" t="s">
        <v>1779</v>
      </c>
    </row>
    <row r="116" spans="1:58">
      <c r="A116" t="s">
        <v>311</v>
      </c>
      <c r="B116" t="s">
        <v>3886</v>
      </c>
      <c r="I116" t="s">
        <v>3887</v>
      </c>
      <c r="K116" t="s">
        <v>3888</v>
      </c>
      <c r="L116" t="s">
        <v>1278</v>
      </c>
      <c r="M116" t="s">
        <v>1279</v>
      </c>
      <c r="N116" t="s">
        <v>1280</v>
      </c>
      <c r="O116" t="s">
        <v>3889</v>
      </c>
      <c r="P116" t="s">
        <v>3890</v>
      </c>
      <c r="R116" t="s">
        <v>3891</v>
      </c>
      <c r="T116" t="s">
        <v>3892</v>
      </c>
      <c r="V116" t="s">
        <v>3893</v>
      </c>
      <c r="X116" t="s">
        <v>3894</v>
      </c>
      <c r="Z116" t="s">
        <v>3895</v>
      </c>
      <c r="AB116" t="s">
        <v>3896</v>
      </c>
      <c r="AD116" t="s">
        <v>3897</v>
      </c>
      <c r="AF116" t="s">
        <v>3898</v>
      </c>
      <c r="AH116" t="s">
        <v>3899</v>
      </c>
      <c r="AJ116" t="s">
        <v>830</v>
      </c>
      <c r="AL116" t="s">
        <v>3900</v>
      </c>
      <c r="AN116" t="s">
        <v>3901</v>
      </c>
      <c r="AP116" t="s">
        <v>3902</v>
      </c>
      <c r="AQ116" t="s">
        <v>1791</v>
      </c>
    </row>
    <row r="117" spans="1:58">
      <c r="A117" t="s">
        <v>311</v>
      </c>
      <c r="B117" t="s">
        <v>3903</v>
      </c>
      <c r="I117" t="s">
        <v>3904</v>
      </c>
      <c r="K117" t="s">
        <v>3479</v>
      </c>
      <c r="L117" t="s">
        <v>1278</v>
      </c>
      <c r="M117" t="s">
        <v>1279</v>
      </c>
      <c r="N117" t="s">
        <v>1280</v>
      </c>
      <c r="O117" t="s">
        <v>3905</v>
      </c>
      <c r="P117" t="s">
        <v>3906</v>
      </c>
      <c r="R117" t="s">
        <v>3907</v>
      </c>
      <c r="T117" t="s">
        <v>3908</v>
      </c>
      <c r="V117" t="s">
        <v>3909</v>
      </c>
      <c r="X117" t="s">
        <v>3910</v>
      </c>
      <c r="Z117" t="s">
        <v>3911</v>
      </c>
      <c r="AB117" t="s">
        <v>3912</v>
      </c>
      <c r="AD117" t="s">
        <v>3913</v>
      </c>
      <c r="AF117" t="s">
        <v>3914</v>
      </c>
      <c r="AH117" t="s">
        <v>3915</v>
      </c>
      <c r="AJ117" t="s">
        <v>830</v>
      </c>
      <c r="AL117" t="s">
        <v>3916</v>
      </c>
      <c r="AN117" t="s">
        <v>3917</v>
      </c>
      <c r="AP117" t="s">
        <v>3918</v>
      </c>
      <c r="AQ117" t="s">
        <v>3919</v>
      </c>
    </row>
    <row r="118" spans="1:58">
      <c r="A118" t="s">
        <v>311</v>
      </c>
      <c r="B118" t="s">
        <v>3920</v>
      </c>
      <c r="I118" t="s">
        <v>3921</v>
      </c>
      <c r="K118" t="s">
        <v>3922</v>
      </c>
      <c r="L118" t="s">
        <v>1278</v>
      </c>
      <c r="M118" t="s">
        <v>1279</v>
      </c>
      <c r="N118" t="s">
        <v>1280</v>
      </c>
      <c r="O118" t="s">
        <v>3923</v>
      </c>
      <c r="P118" t="s">
        <v>3924</v>
      </c>
      <c r="R118" t="s">
        <v>3925</v>
      </c>
      <c r="T118" t="s">
        <v>3926</v>
      </c>
      <c r="V118" t="s">
        <v>3927</v>
      </c>
      <c r="X118" t="s">
        <v>3928</v>
      </c>
      <c r="Z118" t="s">
        <v>3929</v>
      </c>
      <c r="AB118" t="s">
        <v>3930</v>
      </c>
      <c r="AD118" t="s">
        <v>3931</v>
      </c>
      <c r="AF118" t="s">
        <v>3932</v>
      </c>
      <c r="AH118" t="s">
        <v>3933</v>
      </c>
      <c r="AJ118" t="s">
        <v>830</v>
      </c>
      <c r="AL118" t="s">
        <v>3934</v>
      </c>
      <c r="AN118" t="s">
        <v>3935</v>
      </c>
      <c r="AP118" t="s">
        <v>3936</v>
      </c>
      <c r="AQ118" t="s">
        <v>1805</v>
      </c>
    </row>
    <row r="119" spans="1:58">
      <c r="A119" t="s">
        <v>311</v>
      </c>
      <c r="B119" t="s">
        <v>3937</v>
      </c>
      <c r="I119" t="s">
        <v>3938</v>
      </c>
      <c r="K119" t="s">
        <v>3557</v>
      </c>
      <c r="L119" t="s">
        <v>1278</v>
      </c>
      <c r="M119" t="s">
        <v>1279</v>
      </c>
      <c r="N119" t="s">
        <v>1280</v>
      </c>
      <c r="O119" t="s">
        <v>3939</v>
      </c>
      <c r="P119" t="s">
        <v>3940</v>
      </c>
      <c r="R119" t="s">
        <v>3941</v>
      </c>
      <c r="T119" t="s">
        <v>3942</v>
      </c>
      <c r="V119" t="s">
        <v>3943</v>
      </c>
      <c r="X119" t="s">
        <v>3944</v>
      </c>
      <c r="Z119" t="s">
        <v>3945</v>
      </c>
      <c r="AB119" t="s">
        <v>3946</v>
      </c>
      <c r="AD119" t="s">
        <v>3947</v>
      </c>
      <c r="AF119" t="s">
        <v>3948</v>
      </c>
      <c r="AH119" t="s">
        <v>3949</v>
      </c>
      <c r="AJ119" t="s">
        <v>830</v>
      </c>
      <c r="AL119" t="s">
        <v>3950</v>
      </c>
      <c r="AN119" t="s">
        <v>3951</v>
      </c>
      <c r="AP119" t="s">
        <v>3952</v>
      </c>
      <c r="AQ119" t="s">
        <v>3953</v>
      </c>
    </row>
    <row r="120" spans="1:58">
      <c r="A120" t="s">
        <v>311</v>
      </c>
      <c r="B120" t="s">
        <v>3954</v>
      </c>
      <c r="I120" t="s">
        <v>3955</v>
      </c>
      <c r="K120" t="s">
        <v>3956</v>
      </c>
      <c r="L120" t="s">
        <v>1278</v>
      </c>
      <c r="M120" t="s">
        <v>1279</v>
      </c>
      <c r="N120" t="s">
        <v>1280</v>
      </c>
      <c r="O120" t="s">
        <v>3957</v>
      </c>
      <c r="P120" t="s">
        <v>3958</v>
      </c>
      <c r="R120" t="s">
        <v>3959</v>
      </c>
      <c r="T120" t="s">
        <v>3960</v>
      </c>
      <c r="V120" t="s">
        <v>3961</v>
      </c>
      <c r="X120" t="s">
        <v>3962</v>
      </c>
      <c r="Z120" t="s">
        <v>3963</v>
      </c>
      <c r="AB120" t="s">
        <v>3964</v>
      </c>
      <c r="AD120" t="s">
        <v>3965</v>
      </c>
      <c r="AF120" t="s">
        <v>3966</v>
      </c>
      <c r="AH120" t="s">
        <v>3967</v>
      </c>
      <c r="AJ120" t="s">
        <v>830</v>
      </c>
      <c r="AL120" t="s">
        <v>3968</v>
      </c>
      <c r="AN120" t="s">
        <v>3969</v>
      </c>
      <c r="AP120" t="s">
        <v>3970</v>
      </c>
      <c r="AQ120" t="s">
        <v>3971</v>
      </c>
    </row>
    <row r="121" spans="1:58">
      <c r="A121" t="s">
        <v>311</v>
      </c>
      <c r="B121" t="s">
        <v>3972</v>
      </c>
      <c r="I121" t="s">
        <v>3973</v>
      </c>
      <c r="K121" t="s">
        <v>3974</v>
      </c>
      <c r="L121" t="s">
        <v>1278</v>
      </c>
      <c r="M121" t="s">
        <v>1279</v>
      </c>
      <c r="N121" t="s">
        <v>1280</v>
      </c>
      <c r="O121" t="s">
        <v>3975</v>
      </c>
      <c r="P121" t="s">
        <v>3976</v>
      </c>
      <c r="R121" t="s">
        <v>3977</v>
      </c>
      <c r="T121" t="s">
        <v>3978</v>
      </c>
      <c r="V121" t="s">
        <v>3979</v>
      </c>
      <c r="X121" t="s">
        <v>3980</v>
      </c>
      <c r="Z121" t="s">
        <v>3981</v>
      </c>
      <c r="AB121" t="s">
        <v>3982</v>
      </c>
      <c r="AD121" t="s">
        <v>3983</v>
      </c>
      <c r="AF121" t="s">
        <v>3984</v>
      </c>
      <c r="AH121" t="s">
        <v>3985</v>
      </c>
      <c r="AJ121" t="s">
        <v>830</v>
      </c>
      <c r="AL121" t="s">
        <v>3986</v>
      </c>
      <c r="AN121" t="s">
        <v>3987</v>
      </c>
      <c r="AP121" t="s">
        <v>3988</v>
      </c>
      <c r="AQ121" t="s">
        <v>3989</v>
      </c>
    </row>
    <row r="122" spans="1:58">
      <c r="A122" t="s">
        <v>311</v>
      </c>
      <c r="B122" t="s">
        <v>3990</v>
      </c>
      <c r="I122" t="s">
        <v>3991</v>
      </c>
      <c r="K122" t="s">
        <v>3992</v>
      </c>
      <c r="L122" t="s">
        <v>1278</v>
      </c>
      <c r="M122" t="s">
        <v>1279</v>
      </c>
      <c r="N122" t="s">
        <v>1280</v>
      </c>
      <c r="O122" t="s">
        <v>3993</v>
      </c>
      <c r="P122" t="s">
        <v>3994</v>
      </c>
      <c r="R122" t="s">
        <v>3995</v>
      </c>
      <c r="T122" t="s">
        <v>3996</v>
      </c>
      <c r="V122" t="s">
        <v>3997</v>
      </c>
      <c r="X122" t="s">
        <v>3998</v>
      </c>
      <c r="Z122" t="s">
        <v>3999</v>
      </c>
      <c r="AB122" t="s">
        <v>4000</v>
      </c>
      <c r="AD122" t="s">
        <v>4001</v>
      </c>
      <c r="AF122" t="s">
        <v>4002</v>
      </c>
      <c r="AH122" t="s">
        <v>4003</v>
      </c>
      <c r="AJ122" t="s">
        <v>830</v>
      </c>
      <c r="AL122" t="s">
        <v>4004</v>
      </c>
      <c r="AN122" t="s">
        <v>4005</v>
      </c>
      <c r="AP122" t="s">
        <v>4006</v>
      </c>
      <c r="AQ122" t="s">
        <v>4007</v>
      </c>
    </row>
    <row r="123" spans="1:58">
      <c r="A123" t="s">
        <v>311</v>
      </c>
      <c r="B123" t="s">
        <v>4008</v>
      </c>
      <c r="I123" t="s">
        <v>4009</v>
      </c>
      <c r="K123" t="s">
        <v>4010</v>
      </c>
      <c r="L123" t="s">
        <v>1278</v>
      </c>
      <c r="M123" t="s">
        <v>1279</v>
      </c>
      <c r="N123" t="s">
        <v>1280</v>
      </c>
      <c r="O123" t="s">
        <v>4011</v>
      </c>
      <c r="P123" t="s">
        <v>4012</v>
      </c>
      <c r="R123" t="s">
        <v>4013</v>
      </c>
      <c r="T123" t="s">
        <v>4014</v>
      </c>
      <c r="V123" t="s">
        <v>4015</v>
      </c>
      <c r="X123" t="s">
        <v>4016</v>
      </c>
      <c r="Z123" t="s">
        <v>4017</v>
      </c>
      <c r="AB123" t="s">
        <v>4018</v>
      </c>
      <c r="AD123" t="s">
        <v>4019</v>
      </c>
      <c r="AF123" t="s">
        <v>4020</v>
      </c>
      <c r="AH123" t="s">
        <v>4021</v>
      </c>
      <c r="AJ123" t="s">
        <v>830</v>
      </c>
      <c r="AL123" t="s">
        <v>4022</v>
      </c>
      <c r="AN123" t="s">
        <v>4023</v>
      </c>
      <c r="AP123" t="s">
        <v>4024</v>
      </c>
      <c r="AQ123" t="s">
        <v>4025</v>
      </c>
    </row>
    <row r="124" spans="1:58">
      <c r="A124" t="s">
        <v>311</v>
      </c>
      <c r="B124" t="s">
        <v>4026</v>
      </c>
      <c r="I124" t="s">
        <v>4027</v>
      </c>
      <c r="K124" t="s">
        <v>3684</v>
      </c>
      <c r="L124" t="s">
        <v>1278</v>
      </c>
      <c r="M124" t="s">
        <v>1279</v>
      </c>
      <c r="N124" t="s">
        <v>1280</v>
      </c>
      <c r="O124" t="s">
        <v>4028</v>
      </c>
      <c r="P124" t="s">
        <v>4029</v>
      </c>
      <c r="R124" t="s">
        <v>4030</v>
      </c>
      <c r="T124" t="s">
        <v>4031</v>
      </c>
      <c r="V124" t="s">
        <v>4032</v>
      </c>
      <c r="X124" t="s">
        <v>4033</v>
      </c>
      <c r="Z124" t="s">
        <v>4034</v>
      </c>
      <c r="AB124" t="s">
        <v>4035</v>
      </c>
      <c r="AD124" t="s">
        <v>4036</v>
      </c>
      <c r="AF124" t="s">
        <v>4037</v>
      </c>
      <c r="AH124" t="s">
        <v>4038</v>
      </c>
      <c r="AJ124" t="s">
        <v>830</v>
      </c>
      <c r="AL124" t="s">
        <v>4039</v>
      </c>
      <c r="AN124" t="s">
        <v>4040</v>
      </c>
      <c r="AP124" t="s">
        <v>4041</v>
      </c>
      <c r="AQ124" t="s">
        <v>4042</v>
      </c>
    </row>
    <row r="125" spans="1:58">
      <c r="A125" t="s">
        <v>311</v>
      </c>
      <c r="B125" t="s">
        <v>4043</v>
      </c>
      <c r="I125" t="s">
        <v>4044</v>
      </c>
      <c r="K125" t="s">
        <v>3734</v>
      </c>
      <c r="L125" t="s">
        <v>1278</v>
      </c>
      <c r="M125" t="s">
        <v>1279</v>
      </c>
      <c r="N125" t="s">
        <v>1280</v>
      </c>
      <c r="O125" t="s">
        <v>4045</v>
      </c>
      <c r="P125" t="s">
        <v>4046</v>
      </c>
      <c r="R125" t="s">
        <v>4047</v>
      </c>
      <c r="T125" t="s">
        <v>4048</v>
      </c>
      <c r="V125" t="s">
        <v>4049</v>
      </c>
      <c r="X125" t="s">
        <v>4050</v>
      </c>
      <c r="Z125" t="s">
        <v>4051</v>
      </c>
      <c r="AB125" t="s">
        <v>4052</v>
      </c>
      <c r="AD125" t="s">
        <v>4053</v>
      </c>
      <c r="AF125" t="s">
        <v>4054</v>
      </c>
      <c r="AH125" t="s">
        <v>4055</v>
      </c>
      <c r="AJ125" t="s">
        <v>830</v>
      </c>
      <c r="AL125" t="s">
        <v>4056</v>
      </c>
      <c r="AN125" t="s">
        <v>4057</v>
      </c>
      <c r="AP125" t="s">
        <v>4058</v>
      </c>
      <c r="AQ125" t="s">
        <v>4059</v>
      </c>
    </row>
    <row r="126" spans="1:58">
      <c r="A126" t="s">
        <v>311</v>
      </c>
      <c r="B126" t="s">
        <v>4060</v>
      </c>
      <c r="I126" t="s">
        <v>4061</v>
      </c>
      <c r="K126" t="s">
        <v>3750</v>
      </c>
      <c r="L126" t="s">
        <v>1278</v>
      </c>
      <c r="M126" t="s">
        <v>1279</v>
      </c>
      <c r="N126" t="s">
        <v>1280</v>
      </c>
      <c r="O126" t="s">
        <v>4062</v>
      </c>
      <c r="P126" t="s">
        <v>4063</v>
      </c>
      <c r="R126" t="s">
        <v>4064</v>
      </c>
      <c r="T126" t="s">
        <v>4065</v>
      </c>
      <c r="V126" t="s">
        <v>4066</v>
      </c>
      <c r="X126" t="s">
        <v>4067</v>
      </c>
      <c r="Z126" t="s">
        <v>4068</v>
      </c>
      <c r="AB126" t="s">
        <v>4069</v>
      </c>
      <c r="AD126" t="s">
        <v>4070</v>
      </c>
      <c r="AF126" t="s">
        <v>4071</v>
      </c>
      <c r="AH126" t="s">
        <v>4072</v>
      </c>
      <c r="AJ126" t="s">
        <v>830</v>
      </c>
      <c r="AL126" t="s">
        <v>4073</v>
      </c>
      <c r="AN126" t="s">
        <v>4074</v>
      </c>
      <c r="AP126" t="s">
        <v>4075</v>
      </c>
      <c r="AQ126" t="s">
        <v>4076</v>
      </c>
    </row>
    <row r="127" spans="1:58">
      <c r="A127" t="s">
        <v>311</v>
      </c>
      <c r="B127" t="s">
        <v>4077</v>
      </c>
      <c r="I127" t="s">
        <v>4078</v>
      </c>
      <c r="K127" t="s">
        <v>4079</v>
      </c>
      <c r="L127" t="s">
        <v>1278</v>
      </c>
      <c r="M127" t="s">
        <v>1279</v>
      </c>
      <c r="N127" t="s">
        <v>1280</v>
      </c>
      <c r="O127" t="s">
        <v>4080</v>
      </c>
      <c r="P127" t="s">
        <v>4081</v>
      </c>
      <c r="R127" t="s">
        <v>4082</v>
      </c>
      <c r="T127" t="s">
        <v>4083</v>
      </c>
      <c r="V127" t="s">
        <v>4084</v>
      </c>
      <c r="X127" t="s">
        <v>4085</v>
      </c>
      <c r="Z127" t="s">
        <v>4086</v>
      </c>
      <c r="AB127" t="s">
        <v>4087</v>
      </c>
      <c r="AD127" t="s">
        <v>4088</v>
      </c>
      <c r="AF127" t="s">
        <v>4089</v>
      </c>
      <c r="AH127" t="s">
        <v>4090</v>
      </c>
      <c r="AJ127" t="s">
        <v>830</v>
      </c>
      <c r="AL127" t="s">
        <v>4091</v>
      </c>
      <c r="AN127" t="s">
        <v>4092</v>
      </c>
      <c r="AP127" t="s">
        <v>4093</v>
      </c>
      <c r="AQ127" t="s">
        <v>4094</v>
      </c>
    </row>
    <row r="128" spans="1:58">
      <c r="A128" t="s">
        <v>76</v>
      </c>
      <c r="B128" t="s">
        <v>31</v>
      </c>
      <c r="I128" t="s">
        <v>3887</v>
      </c>
    </row>
    <row r="129" spans="1:58">
      <c r="A129" t="s">
        <v>76</v>
      </c>
      <c r="B129" t="s">
        <v>3866</v>
      </c>
      <c r="I129" t="s">
        <v>4095</v>
      </c>
      <c r="R129" t="s">
        <v>4096</v>
      </c>
      <c r="T129" t="s">
        <v>4097</v>
      </c>
      <c r="V129" t="s">
        <v>4098</v>
      </c>
      <c r="X129" t="s">
        <v>4099</v>
      </c>
      <c r="Z129" t="s">
        <v>4100</v>
      </c>
      <c r="AB129" t="s">
        <v>4101</v>
      </c>
      <c r="AD129" t="s">
        <v>4102</v>
      </c>
      <c r="AF129" t="s">
        <v>4103</v>
      </c>
      <c r="AH129" t="s">
        <v>4104</v>
      </c>
      <c r="AJ129" t="s">
        <v>4105</v>
      </c>
      <c r="AL129" t="s">
        <v>4106</v>
      </c>
      <c r="AN129" t="s">
        <v>4107</v>
      </c>
      <c r="AP129" t="s">
        <v>4108</v>
      </c>
      <c r="AQ129" t="s">
        <v>4109</v>
      </c>
      <c r="AU129" t="s">
        <v>4110</v>
      </c>
      <c r="AV129" t="s">
        <v>4111</v>
      </c>
      <c r="AW129" t="s">
        <v>4112</v>
      </c>
      <c r="AX129" t="s">
        <v>4113</v>
      </c>
      <c r="AY129" t="s">
        <v>4114</v>
      </c>
      <c r="AZ129" t="s">
        <v>4115</v>
      </c>
      <c r="BA129" t="s">
        <v>4116</v>
      </c>
      <c r="BB129" t="s">
        <v>4117</v>
      </c>
      <c r="BC129" t="s">
        <v>4118</v>
      </c>
      <c r="BD129" t="s">
        <v>4119</v>
      </c>
      <c r="BE129" t="s">
        <v>4120</v>
      </c>
      <c r="BF129" t="s">
        <v>4121</v>
      </c>
    </row>
    <row r="130" spans="1:58">
      <c r="A130" t="s">
        <v>76</v>
      </c>
      <c r="B130" t="s">
        <v>1864</v>
      </c>
      <c r="I130" t="s">
        <v>4122</v>
      </c>
    </row>
    <row r="131" spans="1:58">
      <c r="A131" t="s">
        <v>76</v>
      </c>
      <c r="B131" t="s">
        <v>31</v>
      </c>
      <c r="H131" t="s">
        <v>365</v>
      </c>
      <c r="I131" t="s">
        <v>4123</v>
      </c>
    </row>
    <row r="132" spans="1:58">
      <c r="A132" t="s">
        <v>76</v>
      </c>
      <c r="B132" t="s">
        <v>4124</v>
      </c>
      <c r="I132" t="s">
        <v>4125</v>
      </c>
      <c r="R132" t="s">
        <v>4126</v>
      </c>
      <c r="AU132" t="s">
        <v>301</v>
      </c>
      <c r="AV132" t="s">
        <v>1319</v>
      </c>
      <c r="AW132" t="s">
        <v>1320</v>
      </c>
      <c r="AX132" t="s">
        <v>1321</v>
      </c>
      <c r="AY132" t="s">
        <v>1322</v>
      </c>
      <c r="AZ132" t="s">
        <v>327</v>
      </c>
      <c r="BA132" t="s">
        <v>328</v>
      </c>
      <c r="BB132" t="s">
        <v>329</v>
      </c>
      <c r="BC132" t="s">
        <v>330</v>
      </c>
      <c r="BD132" t="s">
        <v>289</v>
      </c>
      <c r="BE132" t="s">
        <v>331</v>
      </c>
      <c r="BF132" t="s">
        <v>332</v>
      </c>
    </row>
    <row r="133" spans="1:58">
      <c r="A133" t="s">
        <v>311</v>
      </c>
      <c r="B133" t="s">
        <v>4127</v>
      </c>
      <c r="I133" t="s">
        <v>4128</v>
      </c>
      <c r="K133" t="s">
        <v>4129</v>
      </c>
      <c r="L133" t="s">
        <v>1278</v>
      </c>
      <c r="M133" t="s">
        <v>1279</v>
      </c>
      <c r="N133" t="s">
        <v>1280</v>
      </c>
      <c r="O133" t="s">
        <v>4130</v>
      </c>
      <c r="P133" t="s">
        <v>4131</v>
      </c>
      <c r="R133" t="s">
        <v>4132</v>
      </c>
      <c r="T133" t="s">
        <v>4133</v>
      </c>
      <c r="V133" t="s">
        <v>4134</v>
      </c>
      <c r="X133" t="s">
        <v>4135</v>
      </c>
      <c r="Z133" t="s">
        <v>4136</v>
      </c>
      <c r="AB133" t="s">
        <v>4137</v>
      </c>
      <c r="AD133" t="s">
        <v>4138</v>
      </c>
      <c r="AF133" t="s">
        <v>4139</v>
      </c>
      <c r="AH133" t="s">
        <v>4140</v>
      </c>
      <c r="AJ133" t="s">
        <v>830</v>
      </c>
      <c r="AL133" t="s">
        <v>4141</v>
      </c>
      <c r="AN133" t="s">
        <v>4142</v>
      </c>
      <c r="AP133" t="s">
        <v>4143</v>
      </c>
      <c r="AQ133" t="s">
        <v>4144</v>
      </c>
    </row>
    <row r="134" spans="1:58">
      <c r="A134" t="s">
        <v>311</v>
      </c>
      <c r="B134" t="s">
        <v>4145</v>
      </c>
      <c r="I134" t="s">
        <v>4146</v>
      </c>
      <c r="K134" t="s">
        <v>4147</v>
      </c>
      <c r="L134" t="s">
        <v>1278</v>
      </c>
      <c r="M134" t="s">
        <v>1279</v>
      </c>
      <c r="N134" t="s">
        <v>1280</v>
      </c>
      <c r="O134" t="s">
        <v>4148</v>
      </c>
      <c r="P134" t="s">
        <v>4149</v>
      </c>
      <c r="R134" t="s">
        <v>4150</v>
      </c>
      <c r="T134" t="s">
        <v>4151</v>
      </c>
      <c r="V134" t="s">
        <v>4152</v>
      </c>
      <c r="X134" t="s">
        <v>4153</v>
      </c>
      <c r="Z134" t="s">
        <v>4154</v>
      </c>
      <c r="AB134" t="s">
        <v>4155</v>
      </c>
      <c r="AD134" t="s">
        <v>4156</v>
      </c>
      <c r="AF134" t="s">
        <v>4157</v>
      </c>
      <c r="AH134" t="s">
        <v>4158</v>
      </c>
      <c r="AJ134" t="s">
        <v>830</v>
      </c>
      <c r="AL134" t="s">
        <v>4159</v>
      </c>
      <c r="AN134" t="s">
        <v>4160</v>
      </c>
      <c r="AP134" t="s">
        <v>4161</v>
      </c>
      <c r="AQ134" t="s">
        <v>4162</v>
      </c>
    </row>
    <row r="135" spans="1:58">
      <c r="A135" t="s">
        <v>311</v>
      </c>
      <c r="B135" t="s">
        <v>4163</v>
      </c>
      <c r="I135" t="s">
        <v>4164</v>
      </c>
      <c r="K135" t="s">
        <v>4165</v>
      </c>
      <c r="L135" t="s">
        <v>1278</v>
      </c>
      <c r="M135" t="s">
        <v>1279</v>
      </c>
      <c r="N135" t="s">
        <v>1280</v>
      </c>
      <c r="O135" t="s">
        <v>4166</v>
      </c>
      <c r="P135" t="s">
        <v>4167</v>
      </c>
      <c r="R135" t="s">
        <v>4168</v>
      </c>
      <c r="T135" t="s">
        <v>4169</v>
      </c>
      <c r="V135" t="s">
        <v>4170</v>
      </c>
      <c r="X135" t="s">
        <v>4171</v>
      </c>
      <c r="Z135" t="s">
        <v>4172</v>
      </c>
      <c r="AB135" t="s">
        <v>4173</v>
      </c>
      <c r="AD135" t="s">
        <v>4174</v>
      </c>
      <c r="AF135" t="s">
        <v>4175</v>
      </c>
      <c r="AH135" t="s">
        <v>4176</v>
      </c>
      <c r="AJ135" t="s">
        <v>830</v>
      </c>
      <c r="AL135" t="s">
        <v>4177</v>
      </c>
      <c r="AN135" t="s">
        <v>4178</v>
      </c>
      <c r="AP135" t="s">
        <v>4179</v>
      </c>
      <c r="AQ135" t="s">
        <v>4180</v>
      </c>
    </row>
    <row r="136" spans="1:58">
      <c r="A136" t="s">
        <v>311</v>
      </c>
      <c r="B136" t="s">
        <v>4181</v>
      </c>
      <c r="I136" t="s">
        <v>4182</v>
      </c>
      <c r="K136" t="s">
        <v>4183</v>
      </c>
      <c r="L136" t="s">
        <v>1278</v>
      </c>
      <c r="M136" t="s">
        <v>1279</v>
      </c>
      <c r="N136" t="s">
        <v>1280</v>
      </c>
      <c r="O136" t="s">
        <v>4184</v>
      </c>
      <c r="P136" t="s">
        <v>4185</v>
      </c>
      <c r="R136" t="s">
        <v>4186</v>
      </c>
      <c r="T136" t="s">
        <v>4187</v>
      </c>
      <c r="V136" t="s">
        <v>4188</v>
      </c>
      <c r="X136" t="s">
        <v>4189</v>
      </c>
      <c r="Z136" t="s">
        <v>4190</v>
      </c>
      <c r="AB136" t="s">
        <v>4191</v>
      </c>
      <c r="AD136" t="s">
        <v>4192</v>
      </c>
      <c r="AF136" t="s">
        <v>4193</v>
      </c>
      <c r="AH136" t="s">
        <v>4194</v>
      </c>
      <c r="AJ136" t="s">
        <v>830</v>
      </c>
      <c r="AL136" t="s">
        <v>4195</v>
      </c>
      <c r="AN136" t="s">
        <v>4196</v>
      </c>
      <c r="AP136" t="s">
        <v>4197</v>
      </c>
      <c r="AQ136" t="s">
        <v>4198</v>
      </c>
    </row>
    <row r="137" spans="1:58">
      <c r="A137" t="s">
        <v>311</v>
      </c>
      <c r="B137" t="s">
        <v>4199</v>
      </c>
      <c r="I137" t="s">
        <v>4200</v>
      </c>
      <c r="K137" t="s">
        <v>4201</v>
      </c>
      <c r="L137" t="s">
        <v>1278</v>
      </c>
      <c r="M137" t="s">
        <v>1279</v>
      </c>
      <c r="N137" t="s">
        <v>1280</v>
      </c>
      <c r="O137" t="s">
        <v>4202</v>
      </c>
      <c r="P137" t="s">
        <v>4203</v>
      </c>
      <c r="R137" t="s">
        <v>4204</v>
      </c>
      <c r="T137" t="s">
        <v>4205</v>
      </c>
      <c r="V137" t="s">
        <v>4206</v>
      </c>
      <c r="X137" t="s">
        <v>4207</v>
      </c>
      <c r="Z137" t="s">
        <v>4208</v>
      </c>
      <c r="AB137" t="s">
        <v>4209</v>
      </c>
      <c r="AD137" t="s">
        <v>4210</v>
      </c>
      <c r="AF137" t="s">
        <v>4211</v>
      </c>
      <c r="AH137" t="s">
        <v>4212</v>
      </c>
      <c r="AJ137" t="s">
        <v>830</v>
      </c>
      <c r="AL137" t="s">
        <v>4213</v>
      </c>
      <c r="AN137" t="s">
        <v>4214</v>
      </c>
      <c r="AP137" t="s">
        <v>4215</v>
      </c>
      <c r="AQ137" t="s">
        <v>4216</v>
      </c>
    </row>
    <row r="138" spans="1:58">
      <c r="A138" t="s">
        <v>311</v>
      </c>
      <c r="B138" t="s">
        <v>4217</v>
      </c>
      <c r="I138" t="s">
        <v>4218</v>
      </c>
      <c r="K138" t="s">
        <v>4219</v>
      </c>
      <c r="L138" t="s">
        <v>1278</v>
      </c>
      <c r="M138" t="s">
        <v>1279</v>
      </c>
      <c r="N138" t="s">
        <v>1280</v>
      </c>
      <c r="O138" t="s">
        <v>4220</v>
      </c>
      <c r="P138" t="s">
        <v>4221</v>
      </c>
      <c r="R138" t="s">
        <v>4222</v>
      </c>
      <c r="T138" t="s">
        <v>4223</v>
      </c>
      <c r="V138" t="s">
        <v>4224</v>
      </c>
      <c r="X138" t="s">
        <v>4225</v>
      </c>
      <c r="Z138" t="s">
        <v>4226</v>
      </c>
      <c r="AB138" t="s">
        <v>4227</v>
      </c>
      <c r="AD138" t="s">
        <v>4228</v>
      </c>
      <c r="AF138" t="s">
        <v>4229</v>
      </c>
      <c r="AH138" t="s">
        <v>4230</v>
      </c>
      <c r="AJ138" t="s">
        <v>830</v>
      </c>
      <c r="AL138" t="s">
        <v>4231</v>
      </c>
      <c r="AN138" t="s">
        <v>4232</v>
      </c>
      <c r="AP138" t="s">
        <v>4233</v>
      </c>
      <c r="AQ138" t="s">
        <v>4234</v>
      </c>
    </row>
    <row r="139" spans="1:58">
      <c r="A139" t="s">
        <v>311</v>
      </c>
      <c r="B139" t="s">
        <v>4235</v>
      </c>
      <c r="I139" t="s">
        <v>4236</v>
      </c>
      <c r="K139" t="s">
        <v>4237</v>
      </c>
      <c r="L139" t="s">
        <v>1278</v>
      </c>
      <c r="M139" t="s">
        <v>1279</v>
      </c>
      <c r="N139" t="s">
        <v>1280</v>
      </c>
      <c r="O139" t="s">
        <v>4238</v>
      </c>
      <c r="P139" t="s">
        <v>4239</v>
      </c>
      <c r="R139" t="s">
        <v>4240</v>
      </c>
      <c r="T139" t="s">
        <v>4241</v>
      </c>
      <c r="V139" t="s">
        <v>4242</v>
      </c>
      <c r="X139" t="s">
        <v>4243</v>
      </c>
      <c r="Z139" t="s">
        <v>4244</v>
      </c>
      <c r="AB139" t="s">
        <v>4245</v>
      </c>
      <c r="AD139" t="s">
        <v>4246</v>
      </c>
      <c r="AF139" t="s">
        <v>4247</v>
      </c>
      <c r="AH139" t="s">
        <v>4248</v>
      </c>
      <c r="AJ139" t="s">
        <v>830</v>
      </c>
      <c r="AL139" t="s">
        <v>4249</v>
      </c>
      <c r="AN139" t="s">
        <v>4250</v>
      </c>
      <c r="AP139" t="s">
        <v>4251</v>
      </c>
      <c r="AQ139" t="s">
        <v>4252</v>
      </c>
    </row>
    <row r="140" spans="1:58">
      <c r="A140" t="s">
        <v>311</v>
      </c>
      <c r="B140" t="s">
        <v>4253</v>
      </c>
      <c r="I140" t="s">
        <v>4254</v>
      </c>
      <c r="K140" t="s">
        <v>4255</v>
      </c>
      <c r="L140" t="s">
        <v>1278</v>
      </c>
      <c r="M140" t="s">
        <v>1279</v>
      </c>
      <c r="N140" t="s">
        <v>1280</v>
      </c>
      <c r="O140" t="s">
        <v>4256</v>
      </c>
      <c r="P140" t="s">
        <v>4257</v>
      </c>
      <c r="R140" t="s">
        <v>4258</v>
      </c>
      <c r="T140" t="s">
        <v>4259</v>
      </c>
      <c r="V140" t="s">
        <v>4260</v>
      </c>
      <c r="X140" t="s">
        <v>4261</v>
      </c>
      <c r="Z140" t="s">
        <v>4262</v>
      </c>
      <c r="AB140" t="s">
        <v>4263</v>
      </c>
      <c r="AD140" t="s">
        <v>4264</v>
      </c>
      <c r="AF140" t="s">
        <v>4265</v>
      </c>
      <c r="AH140" t="s">
        <v>4266</v>
      </c>
      <c r="AJ140" t="s">
        <v>830</v>
      </c>
      <c r="AL140" t="s">
        <v>4267</v>
      </c>
      <c r="AN140" t="s">
        <v>4268</v>
      </c>
      <c r="AP140" t="s">
        <v>4269</v>
      </c>
      <c r="AQ140" t="s">
        <v>4270</v>
      </c>
    </row>
    <row r="141" spans="1:58">
      <c r="A141" t="s">
        <v>311</v>
      </c>
      <c r="B141" t="s">
        <v>4271</v>
      </c>
      <c r="I141" t="s">
        <v>4272</v>
      </c>
      <c r="K141" t="s">
        <v>4273</v>
      </c>
      <c r="L141" t="s">
        <v>1278</v>
      </c>
      <c r="M141" t="s">
        <v>1279</v>
      </c>
      <c r="N141" t="s">
        <v>1280</v>
      </c>
      <c r="O141" t="s">
        <v>4274</v>
      </c>
      <c r="P141" t="s">
        <v>4275</v>
      </c>
      <c r="R141" t="s">
        <v>4276</v>
      </c>
      <c r="T141" t="s">
        <v>4277</v>
      </c>
      <c r="V141" t="s">
        <v>4278</v>
      </c>
      <c r="X141" t="s">
        <v>4279</v>
      </c>
      <c r="Z141" t="s">
        <v>4280</v>
      </c>
      <c r="AB141" t="s">
        <v>4281</v>
      </c>
      <c r="AD141" t="s">
        <v>4282</v>
      </c>
      <c r="AF141" t="s">
        <v>4283</v>
      </c>
      <c r="AH141" t="s">
        <v>4284</v>
      </c>
      <c r="AJ141" t="s">
        <v>830</v>
      </c>
      <c r="AL141" t="s">
        <v>4285</v>
      </c>
      <c r="AN141" t="s">
        <v>4286</v>
      </c>
      <c r="AP141" t="s">
        <v>4287</v>
      </c>
      <c r="AQ141" t="s">
        <v>4288</v>
      </c>
    </row>
    <row r="142" spans="1:58">
      <c r="A142" t="s">
        <v>311</v>
      </c>
      <c r="B142" t="s">
        <v>4289</v>
      </c>
      <c r="I142" t="s">
        <v>4290</v>
      </c>
      <c r="K142" t="s">
        <v>4291</v>
      </c>
      <c r="L142" t="s">
        <v>1278</v>
      </c>
      <c r="M142" t="s">
        <v>1279</v>
      </c>
      <c r="N142" t="s">
        <v>1280</v>
      </c>
      <c r="O142" t="s">
        <v>4292</v>
      </c>
      <c r="P142" t="s">
        <v>4293</v>
      </c>
      <c r="R142" t="s">
        <v>4294</v>
      </c>
      <c r="T142" t="s">
        <v>4295</v>
      </c>
      <c r="V142" t="s">
        <v>4296</v>
      </c>
      <c r="X142" t="s">
        <v>4297</v>
      </c>
      <c r="Z142" t="s">
        <v>4298</v>
      </c>
      <c r="AB142" t="s">
        <v>4299</v>
      </c>
      <c r="AD142" t="s">
        <v>4300</v>
      </c>
      <c r="AF142" t="s">
        <v>4301</v>
      </c>
      <c r="AH142" t="s">
        <v>4302</v>
      </c>
      <c r="AJ142" t="s">
        <v>830</v>
      </c>
      <c r="AL142" t="s">
        <v>4303</v>
      </c>
      <c r="AN142" t="s">
        <v>4304</v>
      </c>
      <c r="AP142" t="s">
        <v>4305</v>
      </c>
      <c r="AQ142" t="s">
        <v>4306</v>
      </c>
    </row>
    <row r="143" spans="1:58">
      <c r="A143" t="s">
        <v>311</v>
      </c>
      <c r="B143" t="s">
        <v>4307</v>
      </c>
      <c r="I143" t="s">
        <v>4308</v>
      </c>
      <c r="K143" t="s">
        <v>4309</v>
      </c>
      <c r="L143" t="s">
        <v>1278</v>
      </c>
      <c r="M143" t="s">
        <v>1279</v>
      </c>
      <c r="N143" t="s">
        <v>1280</v>
      </c>
      <c r="O143" t="s">
        <v>4310</v>
      </c>
      <c r="P143" t="s">
        <v>4311</v>
      </c>
      <c r="R143" t="s">
        <v>4312</v>
      </c>
      <c r="T143" t="s">
        <v>4313</v>
      </c>
      <c r="V143" t="s">
        <v>4314</v>
      </c>
      <c r="X143" t="s">
        <v>4315</v>
      </c>
      <c r="Z143" t="s">
        <v>4316</v>
      </c>
      <c r="AB143" t="s">
        <v>4317</v>
      </c>
      <c r="AD143" t="s">
        <v>4318</v>
      </c>
      <c r="AF143" t="s">
        <v>4319</v>
      </c>
      <c r="AH143" t="s">
        <v>4320</v>
      </c>
      <c r="AJ143" t="s">
        <v>830</v>
      </c>
      <c r="AL143" t="s">
        <v>4321</v>
      </c>
      <c r="AN143" t="s">
        <v>4322</v>
      </c>
      <c r="AP143" t="s">
        <v>4323</v>
      </c>
      <c r="AQ143" t="s">
        <v>4324</v>
      </c>
    </row>
    <row r="144" spans="1:58">
      <c r="A144" t="s">
        <v>311</v>
      </c>
      <c r="B144" t="s">
        <v>4325</v>
      </c>
      <c r="I144" t="s">
        <v>4326</v>
      </c>
      <c r="K144" t="s">
        <v>4327</v>
      </c>
      <c r="L144" t="s">
        <v>1278</v>
      </c>
      <c r="M144" t="s">
        <v>1279</v>
      </c>
      <c r="N144" t="s">
        <v>1280</v>
      </c>
      <c r="O144" t="s">
        <v>4328</v>
      </c>
      <c r="P144" t="s">
        <v>4329</v>
      </c>
      <c r="R144" t="s">
        <v>4330</v>
      </c>
      <c r="T144" t="s">
        <v>4331</v>
      </c>
      <c r="V144" t="s">
        <v>4332</v>
      </c>
      <c r="X144" t="s">
        <v>4333</v>
      </c>
      <c r="Z144" t="s">
        <v>4334</v>
      </c>
      <c r="AB144" t="s">
        <v>4335</v>
      </c>
      <c r="AD144" t="s">
        <v>4336</v>
      </c>
      <c r="AF144" t="s">
        <v>4337</v>
      </c>
      <c r="AH144" t="s">
        <v>4338</v>
      </c>
      <c r="AJ144" t="s">
        <v>830</v>
      </c>
      <c r="AL144" t="s">
        <v>4339</v>
      </c>
      <c r="AN144" t="s">
        <v>4340</v>
      </c>
      <c r="AP144" t="s">
        <v>4341</v>
      </c>
      <c r="AQ144" t="s">
        <v>4342</v>
      </c>
    </row>
    <row r="145" spans="1:58">
      <c r="A145" t="s">
        <v>311</v>
      </c>
      <c r="B145" t="s">
        <v>4343</v>
      </c>
      <c r="I145" t="s">
        <v>4344</v>
      </c>
      <c r="K145" t="s">
        <v>4345</v>
      </c>
      <c r="L145" t="s">
        <v>1278</v>
      </c>
      <c r="M145" t="s">
        <v>1279</v>
      </c>
      <c r="N145" t="s">
        <v>1280</v>
      </c>
      <c r="O145" t="s">
        <v>4346</v>
      </c>
      <c r="P145" t="s">
        <v>4347</v>
      </c>
      <c r="R145" t="s">
        <v>4348</v>
      </c>
      <c r="T145" t="s">
        <v>4349</v>
      </c>
      <c r="V145" t="s">
        <v>4350</v>
      </c>
      <c r="X145" t="s">
        <v>4351</v>
      </c>
      <c r="Z145" t="s">
        <v>4352</v>
      </c>
      <c r="AB145" t="s">
        <v>4353</v>
      </c>
      <c r="AD145" t="s">
        <v>4354</v>
      </c>
      <c r="AF145" t="s">
        <v>4355</v>
      </c>
      <c r="AH145" t="s">
        <v>4356</v>
      </c>
      <c r="AJ145" t="s">
        <v>830</v>
      </c>
      <c r="AL145" t="s">
        <v>4357</v>
      </c>
      <c r="AN145" t="s">
        <v>4358</v>
      </c>
      <c r="AP145" t="s">
        <v>4359</v>
      </c>
      <c r="AQ145" t="s">
        <v>4360</v>
      </c>
    </row>
    <row r="146" spans="1:58">
      <c r="A146" t="s">
        <v>311</v>
      </c>
      <c r="B146" t="s">
        <v>4361</v>
      </c>
      <c r="I146" t="s">
        <v>4362</v>
      </c>
      <c r="K146" t="s">
        <v>4363</v>
      </c>
      <c r="L146" t="s">
        <v>1278</v>
      </c>
      <c r="M146" t="s">
        <v>1279</v>
      </c>
      <c r="N146" t="s">
        <v>1280</v>
      </c>
      <c r="O146" t="s">
        <v>4364</v>
      </c>
      <c r="P146" t="s">
        <v>4365</v>
      </c>
      <c r="R146" t="s">
        <v>4366</v>
      </c>
      <c r="T146" t="s">
        <v>4367</v>
      </c>
      <c r="V146" t="s">
        <v>4368</v>
      </c>
      <c r="X146" t="s">
        <v>4369</v>
      </c>
      <c r="Z146" t="s">
        <v>4370</v>
      </c>
      <c r="AB146" t="s">
        <v>4371</v>
      </c>
      <c r="AD146" t="s">
        <v>4372</v>
      </c>
      <c r="AF146" t="s">
        <v>4373</v>
      </c>
      <c r="AH146" t="s">
        <v>4374</v>
      </c>
      <c r="AJ146" t="s">
        <v>830</v>
      </c>
      <c r="AL146" t="s">
        <v>4375</v>
      </c>
      <c r="AN146" t="s">
        <v>4376</v>
      </c>
      <c r="AP146" t="s">
        <v>4377</v>
      </c>
      <c r="AQ146" t="s">
        <v>4378</v>
      </c>
    </row>
    <row r="147" spans="1:58">
      <c r="A147" t="s">
        <v>311</v>
      </c>
      <c r="B147" t="s">
        <v>4379</v>
      </c>
      <c r="I147" t="s">
        <v>4380</v>
      </c>
      <c r="K147" t="s">
        <v>4381</v>
      </c>
      <c r="L147" t="s">
        <v>1278</v>
      </c>
      <c r="M147" t="s">
        <v>1279</v>
      </c>
      <c r="N147" t="s">
        <v>1280</v>
      </c>
      <c r="O147" t="s">
        <v>4382</v>
      </c>
      <c r="P147" t="s">
        <v>4383</v>
      </c>
      <c r="R147" t="s">
        <v>4384</v>
      </c>
      <c r="T147" t="s">
        <v>4385</v>
      </c>
      <c r="V147" t="s">
        <v>4386</v>
      </c>
      <c r="X147" t="s">
        <v>4387</v>
      </c>
      <c r="Z147" t="s">
        <v>4388</v>
      </c>
      <c r="AB147" t="s">
        <v>4389</v>
      </c>
      <c r="AD147" t="s">
        <v>4390</v>
      </c>
      <c r="AF147" t="s">
        <v>4391</v>
      </c>
      <c r="AH147" t="s">
        <v>4392</v>
      </c>
      <c r="AJ147" t="s">
        <v>830</v>
      </c>
      <c r="AL147" t="s">
        <v>4393</v>
      </c>
      <c r="AN147" t="s">
        <v>4394</v>
      </c>
      <c r="AP147" t="s">
        <v>4395</v>
      </c>
      <c r="AQ147" t="s">
        <v>4396</v>
      </c>
    </row>
    <row r="148" spans="1:58">
      <c r="A148" t="s">
        <v>311</v>
      </c>
      <c r="B148" t="s">
        <v>4397</v>
      </c>
      <c r="I148" t="s">
        <v>4398</v>
      </c>
      <c r="K148" t="s">
        <v>4399</v>
      </c>
      <c r="L148" t="s">
        <v>1278</v>
      </c>
      <c r="M148" t="s">
        <v>1279</v>
      </c>
      <c r="N148" t="s">
        <v>1280</v>
      </c>
      <c r="O148" t="s">
        <v>4400</v>
      </c>
      <c r="P148" t="s">
        <v>4401</v>
      </c>
      <c r="R148" t="s">
        <v>4402</v>
      </c>
      <c r="T148" t="s">
        <v>4403</v>
      </c>
      <c r="V148" t="s">
        <v>4404</v>
      </c>
      <c r="X148" t="s">
        <v>4405</v>
      </c>
      <c r="Z148" t="s">
        <v>4406</v>
      </c>
      <c r="AB148" t="s">
        <v>4407</v>
      </c>
      <c r="AD148" t="s">
        <v>4408</v>
      </c>
      <c r="AF148" t="s">
        <v>4409</v>
      </c>
      <c r="AH148" t="s">
        <v>4410</v>
      </c>
      <c r="AJ148" t="s">
        <v>830</v>
      </c>
      <c r="AL148" t="s">
        <v>4411</v>
      </c>
      <c r="AN148" t="s">
        <v>4412</v>
      </c>
      <c r="AP148" t="s">
        <v>4413</v>
      </c>
      <c r="AQ148" t="s">
        <v>4414</v>
      </c>
    </row>
    <row r="149" spans="1:58">
      <c r="A149" t="s">
        <v>311</v>
      </c>
      <c r="B149" t="s">
        <v>4415</v>
      </c>
      <c r="I149" t="s">
        <v>4416</v>
      </c>
      <c r="K149" t="s">
        <v>4417</v>
      </c>
      <c r="L149" t="s">
        <v>1278</v>
      </c>
      <c r="M149" t="s">
        <v>1279</v>
      </c>
      <c r="N149" t="s">
        <v>1280</v>
      </c>
      <c r="O149" t="s">
        <v>4418</v>
      </c>
      <c r="P149" t="s">
        <v>4419</v>
      </c>
      <c r="R149" t="s">
        <v>4420</v>
      </c>
      <c r="T149" t="s">
        <v>4421</v>
      </c>
      <c r="V149" t="s">
        <v>4422</v>
      </c>
      <c r="X149" t="s">
        <v>4423</v>
      </c>
      <c r="Z149" t="s">
        <v>4424</v>
      </c>
      <c r="AB149" t="s">
        <v>4425</v>
      </c>
      <c r="AD149" t="s">
        <v>4426</v>
      </c>
      <c r="AF149" t="s">
        <v>4427</v>
      </c>
      <c r="AH149" t="s">
        <v>4428</v>
      </c>
      <c r="AJ149" t="s">
        <v>830</v>
      </c>
      <c r="AL149" t="s">
        <v>4429</v>
      </c>
      <c r="AN149" t="s">
        <v>4430</v>
      </c>
      <c r="AP149" t="s">
        <v>4431</v>
      </c>
      <c r="AQ149" t="s">
        <v>4432</v>
      </c>
    </row>
    <row r="150" spans="1:58">
      <c r="A150" t="s">
        <v>311</v>
      </c>
      <c r="B150" t="s">
        <v>4433</v>
      </c>
      <c r="I150" t="s">
        <v>4434</v>
      </c>
      <c r="K150" t="s">
        <v>3684</v>
      </c>
      <c r="L150" t="s">
        <v>1278</v>
      </c>
      <c r="M150" t="s">
        <v>1279</v>
      </c>
      <c r="N150" t="s">
        <v>1280</v>
      </c>
      <c r="O150" t="s">
        <v>4435</v>
      </c>
      <c r="P150" t="s">
        <v>4436</v>
      </c>
      <c r="R150" t="s">
        <v>4437</v>
      </c>
      <c r="T150" t="s">
        <v>4438</v>
      </c>
      <c r="V150" t="s">
        <v>4439</v>
      </c>
      <c r="X150" t="s">
        <v>4440</v>
      </c>
      <c r="Z150" t="s">
        <v>4441</v>
      </c>
      <c r="AB150" t="s">
        <v>4442</v>
      </c>
      <c r="AD150" t="s">
        <v>4443</v>
      </c>
      <c r="AF150" t="s">
        <v>4444</v>
      </c>
      <c r="AH150" t="s">
        <v>4445</v>
      </c>
      <c r="AJ150" t="s">
        <v>830</v>
      </c>
      <c r="AL150" t="s">
        <v>4446</v>
      </c>
      <c r="AN150" t="s">
        <v>4447</v>
      </c>
      <c r="AP150" t="s">
        <v>4448</v>
      </c>
      <c r="AQ150" t="s">
        <v>4449</v>
      </c>
    </row>
    <row r="151" spans="1:58">
      <c r="A151" t="s">
        <v>311</v>
      </c>
      <c r="B151" t="s">
        <v>4450</v>
      </c>
      <c r="I151" t="s">
        <v>4451</v>
      </c>
      <c r="K151" t="s">
        <v>4452</v>
      </c>
      <c r="L151" t="s">
        <v>1278</v>
      </c>
      <c r="M151" t="s">
        <v>1279</v>
      </c>
      <c r="N151" t="s">
        <v>1280</v>
      </c>
      <c r="O151" t="s">
        <v>4453</v>
      </c>
      <c r="P151" t="s">
        <v>4454</v>
      </c>
      <c r="R151" t="s">
        <v>4455</v>
      </c>
      <c r="T151" t="s">
        <v>4456</v>
      </c>
      <c r="V151" t="s">
        <v>4457</v>
      </c>
      <c r="X151" t="s">
        <v>4458</v>
      </c>
      <c r="Z151" t="s">
        <v>4459</v>
      </c>
      <c r="AB151" t="s">
        <v>4460</v>
      </c>
      <c r="AD151" t="s">
        <v>4461</v>
      </c>
      <c r="AF151" t="s">
        <v>4462</v>
      </c>
      <c r="AH151" t="s">
        <v>4463</v>
      </c>
      <c r="AJ151" t="s">
        <v>830</v>
      </c>
      <c r="AL151" t="s">
        <v>4464</v>
      </c>
      <c r="AN151" t="s">
        <v>4465</v>
      </c>
      <c r="AP151" t="s">
        <v>4466</v>
      </c>
      <c r="AQ151" t="s">
        <v>4467</v>
      </c>
    </row>
    <row r="152" spans="1:58">
      <c r="A152" t="s">
        <v>311</v>
      </c>
      <c r="B152" t="s">
        <v>4468</v>
      </c>
      <c r="I152" t="s">
        <v>4469</v>
      </c>
      <c r="K152" t="s">
        <v>3734</v>
      </c>
      <c r="L152" t="s">
        <v>1278</v>
      </c>
      <c r="M152" t="s">
        <v>1279</v>
      </c>
      <c r="N152" t="s">
        <v>1280</v>
      </c>
      <c r="O152" t="s">
        <v>4470</v>
      </c>
      <c r="P152" t="s">
        <v>4471</v>
      </c>
      <c r="R152" t="s">
        <v>4472</v>
      </c>
      <c r="T152" t="s">
        <v>4473</v>
      </c>
      <c r="V152" t="s">
        <v>4474</v>
      </c>
      <c r="X152" t="s">
        <v>4475</v>
      </c>
      <c r="Z152" t="s">
        <v>4476</v>
      </c>
      <c r="AB152" t="s">
        <v>4477</v>
      </c>
      <c r="AD152" t="s">
        <v>4478</v>
      </c>
      <c r="AF152" t="s">
        <v>4479</v>
      </c>
      <c r="AH152" t="s">
        <v>4480</v>
      </c>
      <c r="AJ152" t="s">
        <v>830</v>
      </c>
      <c r="AL152" t="s">
        <v>4481</v>
      </c>
      <c r="AN152" t="s">
        <v>4482</v>
      </c>
      <c r="AP152" t="s">
        <v>4483</v>
      </c>
      <c r="AQ152" t="s">
        <v>4484</v>
      </c>
    </row>
    <row r="153" spans="1:58">
      <c r="A153" t="s">
        <v>76</v>
      </c>
      <c r="B153" t="s">
        <v>31</v>
      </c>
      <c r="I153" t="s">
        <v>4146</v>
      </c>
    </row>
    <row r="154" spans="1:58">
      <c r="A154" t="s">
        <v>76</v>
      </c>
      <c r="B154" t="s">
        <v>4124</v>
      </c>
      <c r="I154" t="s">
        <v>4485</v>
      </c>
      <c r="R154" t="s">
        <v>4486</v>
      </c>
      <c r="T154" t="s">
        <v>4487</v>
      </c>
      <c r="V154" t="s">
        <v>4488</v>
      </c>
      <c r="X154" t="s">
        <v>4489</v>
      </c>
      <c r="Z154" t="s">
        <v>4490</v>
      </c>
      <c r="AB154" t="s">
        <v>4491</v>
      </c>
      <c r="AD154" t="s">
        <v>4492</v>
      </c>
      <c r="AF154" t="s">
        <v>4493</v>
      </c>
      <c r="AH154" t="s">
        <v>4494</v>
      </c>
      <c r="AJ154" t="s">
        <v>4495</v>
      </c>
      <c r="AL154" t="s">
        <v>4496</v>
      </c>
      <c r="AN154" t="s">
        <v>4497</v>
      </c>
      <c r="AP154" t="s">
        <v>4498</v>
      </c>
      <c r="AQ154" t="s">
        <v>4499</v>
      </c>
      <c r="AU154" t="s">
        <v>4500</v>
      </c>
      <c r="AV154" t="s">
        <v>4501</v>
      </c>
      <c r="AW154" t="s">
        <v>4502</v>
      </c>
      <c r="AX154" t="s">
        <v>4503</v>
      </c>
      <c r="AY154" t="s">
        <v>4504</v>
      </c>
      <c r="AZ154" t="s">
        <v>4505</v>
      </c>
      <c r="BA154" t="s">
        <v>4506</v>
      </c>
      <c r="BB154" t="s">
        <v>4507</v>
      </c>
      <c r="BC154" t="s">
        <v>4508</v>
      </c>
      <c r="BD154" t="s">
        <v>4509</v>
      </c>
      <c r="BE154" t="s">
        <v>4510</v>
      </c>
      <c r="BF154" t="s">
        <v>4511</v>
      </c>
    </row>
    <row r="155" spans="1:58">
      <c r="A155" t="s">
        <v>76</v>
      </c>
      <c r="B155" t="s">
        <v>4512</v>
      </c>
      <c r="I155" t="s">
        <v>4513</v>
      </c>
    </row>
    <row r="156" spans="1:58">
      <c r="A156" t="s">
        <v>76</v>
      </c>
      <c r="B156" t="s">
        <v>31</v>
      </c>
      <c r="H156" t="s">
        <v>365</v>
      </c>
      <c r="I156" t="s">
        <v>4514</v>
      </c>
    </row>
    <row r="157" spans="1:58">
      <c r="A157" t="s">
        <v>76</v>
      </c>
      <c r="B157" t="s">
        <v>4515</v>
      </c>
      <c r="I157" t="s">
        <v>4516</v>
      </c>
      <c r="R157" t="s">
        <v>4517</v>
      </c>
      <c r="AU157" t="s">
        <v>301</v>
      </c>
      <c r="AV157" t="s">
        <v>1319</v>
      </c>
      <c r="AW157" t="s">
        <v>1320</v>
      </c>
      <c r="AX157" t="s">
        <v>1321</v>
      </c>
      <c r="AY157" t="s">
        <v>1322</v>
      </c>
      <c r="AZ157" t="s">
        <v>327</v>
      </c>
      <c r="BA157" t="s">
        <v>328</v>
      </c>
      <c r="BB157" t="s">
        <v>329</v>
      </c>
      <c r="BC157" t="s">
        <v>330</v>
      </c>
      <c r="BD157" t="s">
        <v>289</v>
      </c>
      <c r="BE157" t="s">
        <v>331</v>
      </c>
      <c r="BF157" t="s">
        <v>332</v>
      </c>
    </row>
    <row r="158" spans="1:58">
      <c r="A158" t="s">
        <v>311</v>
      </c>
      <c r="B158" t="s">
        <v>4518</v>
      </c>
      <c r="I158" t="s">
        <v>4519</v>
      </c>
      <c r="K158" t="s">
        <v>4520</v>
      </c>
      <c r="L158" t="s">
        <v>1278</v>
      </c>
      <c r="M158" t="s">
        <v>1279</v>
      </c>
      <c r="N158" t="s">
        <v>1280</v>
      </c>
      <c r="O158" t="s">
        <v>4521</v>
      </c>
      <c r="P158" t="s">
        <v>4522</v>
      </c>
      <c r="R158" t="s">
        <v>4523</v>
      </c>
      <c r="T158" t="s">
        <v>4524</v>
      </c>
      <c r="V158" t="s">
        <v>4525</v>
      </c>
      <c r="X158" t="s">
        <v>4526</v>
      </c>
      <c r="Z158" t="s">
        <v>4527</v>
      </c>
      <c r="AB158" t="s">
        <v>4528</v>
      </c>
      <c r="AD158" t="s">
        <v>4529</v>
      </c>
      <c r="AF158" t="s">
        <v>4530</v>
      </c>
      <c r="AH158" t="s">
        <v>4531</v>
      </c>
      <c r="AJ158" t="s">
        <v>830</v>
      </c>
      <c r="AL158" t="s">
        <v>4532</v>
      </c>
      <c r="AN158" t="s">
        <v>4533</v>
      </c>
      <c r="AP158" t="s">
        <v>4534</v>
      </c>
      <c r="AQ158" t="s">
        <v>4535</v>
      </c>
    </row>
    <row r="159" spans="1:58">
      <c r="A159" t="s">
        <v>311</v>
      </c>
      <c r="B159" t="s">
        <v>4536</v>
      </c>
      <c r="I159" t="s">
        <v>4537</v>
      </c>
      <c r="K159" t="s">
        <v>4538</v>
      </c>
      <c r="L159" t="s">
        <v>1278</v>
      </c>
      <c r="M159" t="s">
        <v>1279</v>
      </c>
      <c r="N159" t="s">
        <v>1280</v>
      </c>
      <c r="O159" t="s">
        <v>4539</v>
      </c>
      <c r="P159" t="s">
        <v>4540</v>
      </c>
      <c r="R159" t="s">
        <v>4541</v>
      </c>
      <c r="T159" t="s">
        <v>4542</v>
      </c>
      <c r="V159" t="s">
        <v>4543</v>
      </c>
      <c r="X159" t="s">
        <v>4544</v>
      </c>
      <c r="Z159" t="s">
        <v>4545</v>
      </c>
      <c r="AB159" t="s">
        <v>4546</v>
      </c>
      <c r="AD159" t="s">
        <v>4547</v>
      </c>
      <c r="AF159" t="s">
        <v>4548</v>
      </c>
      <c r="AH159" t="s">
        <v>4549</v>
      </c>
      <c r="AJ159" t="s">
        <v>830</v>
      </c>
      <c r="AL159" t="s">
        <v>4550</v>
      </c>
      <c r="AN159" t="s">
        <v>4551</v>
      </c>
      <c r="AP159" t="s">
        <v>4552</v>
      </c>
      <c r="AQ159" t="s">
        <v>4553</v>
      </c>
    </row>
    <row r="160" spans="1:58">
      <c r="A160" t="s">
        <v>311</v>
      </c>
      <c r="B160" t="s">
        <v>4554</v>
      </c>
      <c r="I160" t="s">
        <v>4555</v>
      </c>
      <c r="K160" t="s">
        <v>4556</v>
      </c>
      <c r="L160" t="s">
        <v>1278</v>
      </c>
      <c r="M160" t="s">
        <v>1279</v>
      </c>
      <c r="N160" t="s">
        <v>1280</v>
      </c>
      <c r="O160" t="s">
        <v>4557</v>
      </c>
      <c r="P160" t="s">
        <v>4558</v>
      </c>
      <c r="R160" t="s">
        <v>4559</v>
      </c>
      <c r="T160" t="s">
        <v>4560</v>
      </c>
      <c r="V160" t="s">
        <v>4561</v>
      </c>
      <c r="X160" t="s">
        <v>4562</v>
      </c>
      <c r="Z160" t="s">
        <v>4563</v>
      </c>
      <c r="AB160" t="s">
        <v>4564</v>
      </c>
      <c r="AD160" t="s">
        <v>4565</v>
      </c>
      <c r="AF160" t="s">
        <v>4566</v>
      </c>
      <c r="AH160" t="s">
        <v>4567</v>
      </c>
      <c r="AJ160" t="s">
        <v>830</v>
      </c>
      <c r="AL160" t="s">
        <v>4568</v>
      </c>
      <c r="AN160" t="s">
        <v>4569</v>
      </c>
      <c r="AP160" t="s">
        <v>4570</v>
      </c>
      <c r="AQ160" t="s">
        <v>4571</v>
      </c>
    </row>
    <row r="161" spans="1:58">
      <c r="A161" t="s">
        <v>311</v>
      </c>
      <c r="B161" t="s">
        <v>4572</v>
      </c>
      <c r="I161" t="s">
        <v>4573</v>
      </c>
      <c r="K161" t="s">
        <v>4574</v>
      </c>
      <c r="L161" t="s">
        <v>1278</v>
      </c>
      <c r="M161" t="s">
        <v>1279</v>
      </c>
      <c r="N161" t="s">
        <v>1280</v>
      </c>
      <c r="O161" t="s">
        <v>4575</v>
      </c>
      <c r="P161" t="s">
        <v>4576</v>
      </c>
      <c r="R161" t="s">
        <v>4577</v>
      </c>
      <c r="T161" t="s">
        <v>4578</v>
      </c>
      <c r="V161" t="s">
        <v>4579</v>
      </c>
      <c r="X161" t="s">
        <v>4580</v>
      </c>
      <c r="Z161" t="s">
        <v>4581</v>
      </c>
      <c r="AB161" t="s">
        <v>4582</v>
      </c>
      <c r="AD161" t="s">
        <v>4583</v>
      </c>
      <c r="AF161" t="s">
        <v>4584</v>
      </c>
      <c r="AH161" t="s">
        <v>4585</v>
      </c>
      <c r="AJ161" t="s">
        <v>830</v>
      </c>
      <c r="AL161" t="s">
        <v>4586</v>
      </c>
      <c r="AN161" t="s">
        <v>4587</v>
      </c>
      <c r="AP161" t="s">
        <v>4588</v>
      </c>
      <c r="AQ161" t="s">
        <v>4589</v>
      </c>
    </row>
    <row r="162" spans="1:58">
      <c r="A162" t="s">
        <v>311</v>
      </c>
      <c r="B162" t="s">
        <v>4590</v>
      </c>
      <c r="I162" t="s">
        <v>4591</v>
      </c>
      <c r="K162" t="s">
        <v>4592</v>
      </c>
      <c r="L162" t="s">
        <v>1278</v>
      </c>
      <c r="M162" t="s">
        <v>1279</v>
      </c>
      <c r="N162" t="s">
        <v>1280</v>
      </c>
      <c r="O162" t="s">
        <v>4593</v>
      </c>
      <c r="P162" t="s">
        <v>4594</v>
      </c>
      <c r="R162" t="s">
        <v>4595</v>
      </c>
      <c r="T162" t="s">
        <v>4596</v>
      </c>
      <c r="V162" t="s">
        <v>4597</v>
      </c>
      <c r="X162" t="s">
        <v>4598</v>
      </c>
      <c r="Z162" t="s">
        <v>4599</v>
      </c>
      <c r="AB162" t="s">
        <v>4600</v>
      </c>
      <c r="AD162" t="s">
        <v>4601</v>
      </c>
      <c r="AF162" t="s">
        <v>4602</v>
      </c>
      <c r="AH162" t="s">
        <v>4603</v>
      </c>
      <c r="AJ162" t="s">
        <v>830</v>
      </c>
      <c r="AL162" t="s">
        <v>4604</v>
      </c>
      <c r="AN162" t="s">
        <v>4605</v>
      </c>
      <c r="AP162" t="s">
        <v>4606</v>
      </c>
      <c r="AQ162" t="s">
        <v>4607</v>
      </c>
    </row>
    <row r="163" spans="1:58">
      <c r="A163" t="s">
        <v>311</v>
      </c>
      <c r="B163" t="s">
        <v>4608</v>
      </c>
      <c r="I163" t="s">
        <v>4609</v>
      </c>
      <c r="K163" t="s">
        <v>3734</v>
      </c>
      <c r="L163" t="s">
        <v>1278</v>
      </c>
      <c r="M163" t="s">
        <v>1279</v>
      </c>
      <c r="N163" t="s">
        <v>1280</v>
      </c>
      <c r="O163" t="s">
        <v>4610</v>
      </c>
      <c r="P163" t="s">
        <v>4611</v>
      </c>
      <c r="R163" t="s">
        <v>4612</v>
      </c>
      <c r="T163" t="s">
        <v>4613</v>
      </c>
      <c r="V163" t="s">
        <v>4614</v>
      </c>
      <c r="X163" t="s">
        <v>4615</v>
      </c>
      <c r="Z163" t="s">
        <v>4616</v>
      </c>
      <c r="AB163" t="s">
        <v>4617</v>
      </c>
      <c r="AD163" t="s">
        <v>4618</v>
      </c>
      <c r="AF163" t="s">
        <v>4619</v>
      </c>
      <c r="AH163" t="s">
        <v>4620</v>
      </c>
      <c r="AJ163" t="s">
        <v>830</v>
      </c>
      <c r="AL163" t="s">
        <v>4621</v>
      </c>
      <c r="AN163" t="s">
        <v>4622</v>
      </c>
      <c r="AP163" t="s">
        <v>4623</v>
      </c>
      <c r="AQ163" t="s">
        <v>4624</v>
      </c>
    </row>
    <row r="164" spans="1:58">
      <c r="A164" t="s">
        <v>311</v>
      </c>
      <c r="B164" t="s">
        <v>4625</v>
      </c>
      <c r="I164" t="s">
        <v>4626</v>
      </c>
      <c r="K164" t="s">
        <v>4627</v>
      </c>
      <c r="L164" t="s">
        <v>1278</v>
      </c>
      <c r="M164" t="s">
        <v>1279</v>
      </c>
      <c r="N164" t="s">
        <v>1280</v>
      </c>
      <c r="O164" t="s">
        <v>4628</v>
      </c>
      <c r="P164" t="s">
        <v>4629</v>
      </c>
      <c r="R164" t="s">
        <v>4630</v>
      </c>
      <c r="T164" t="s">
        <v>4631</v>
      </c>
      <c r="V164" t="s">
        <v>4632</v>
      </c>
      <c r="X164" t="s">
        <v>4633</v>
      </c>
      <c r="Z164" t="s">
        <v>4634</v>
      </c>
      <c r="AB164" t="s">
        <v>4635</v>
      </c>
      <c r="AD164" t="s">
        <v>4636</v>
      </c>
      <c r="AF164" t="s">
        <v>4637</v>
      </c>
      <c r="AH164" t="s">
        <v>4638</v>
      </c>
      <c r="AJ164" t="s">
        <v>830</v>
      </c>
      <c r="AL164" t="s">
        <v>4639</v>
      </c>
      <c r="AN164" t="s">
        <v>4640</v>
      </c>
      <c r="AP164" t="s">
        <v>4641</v>
      </c>
      <c r="AQ164" t="s">
        <v>4642</v>
      </c>
    </row>
    <row r="165" spans="1:58">
      <c r="A165" t="s">
        <v>76</v>
      </c>
      <c r="B165" t="s">
        <v>31</v>
      </c>
      <c r="I165" t="s">
        <v>4537</v>
      </c>
    </row>
    <row r="166" spans="1:58">
      <c r="A166" t="s">
        <v>76</v>
      </c>
      <c r="B166" t="s">
        <v>4515</v>
      </c>
      <c r="I166" t="s">
        <v>4643</v>
      </c>
      <c r="R166" t="s">
        <v>4644</v>
      </c>
      <c r="T166" t="s">
        <v>4645</v>
      </c>
      <c r="V166" t="s">
        <v>4646</v>
      </c>
      <c r="X166" t="s">
        <v>4647</v>
      </c>
      <c r="Z166" t="s">
        <v>4648</v>
      </c>
      <c r="AB166" t="s">
        <v>4649</v>
      </c>
      <c r="AD166" t="s">
        <v>4650</v>
      </c>
      <c r="AF166" t="s">
        <v>4651</v>
      </c>
      <c r="AH166" t="s">
        <v>4652</v>
      </c>
      <c r="AJ166" t="s">
        <v>4653</v>
      </c>
      <c r="AL166" t="s">
        <v>4654</v>
      </c>
      <c r="AN166" t="s">
        <v>4655</v>
      </c>
      <c r="AP166" t="s">
        <v>4656</v>
      </c>
      <c r="AQ166" t="s">
        <v>4657</v>
      </c>
      <c r="AU166" t="s">
        <v>4658</v>
      </c>
      <c r="AV166" t="s">
        <v>4659</v>
      </c>
      <c r="AW166" t="s">
        <v>4660</v>
      </c>
      <c r="AX166" t="s">
        <v>4661</v>
      </c>
      <c r="AY166" t="s">
        <v>4662</v>
      </c>
      <c r="AZ166" t="s">
        <v>4663</v>
      </c>
      <c r="BA166" t="s">
        <v>4664</v>
      </c>
      <c r="BB166" t="s">
        <v>4665</v>
      </c>
      <c r="BC166" t="s">
        <v>4666</v>
      </c>
      <c r="BD166" t="s">
        <v>4667</v>
      </c>
      <c r="BE166" t="s">
        <v>4668</v>
      </c>
      <c r="BF166" t="s">
        <v>4669</v>
      </c>
    </row>
    <row r="167" spans="1:58">
      <c r="A167" t="s">
        <v>76</v>
      </c>
      <c r="B167" t="s">
        <v>4670</v>
      </c>
      <c r="I167" t="s">
        <v>4671</v>
      </c>
    </row>
    <row r="168" spans="1:58">
      <c r="A168" t="s">
        <v>76</v>
      </c>
      <c r="B168" t="s">
        <v>31</v>
      </c>
      <c r="H168" t="s">
        <v>365</v>
      </c>
      <c r="I168" t="s">
        <v>4672</v>
      </c>
    </row>
    <row r="169" spans="1:58">
      <c r="A169" t="s">
        <v>76</v>
      </c>
      <c r="B169" t="s">
        <v>4673</v>
      </c>
      <c r="I169" t="s">
        <v>4674</v>
      </c>
      <c r="R169" t="s">
        <v>4675</v>
      </c>
      <c r="AU169" t="s">
        <v>301</v>
      </c>
      <c r="AV169" t="s">
        <v>1319</v>
      </c>
      <c r="AW169" t="s">
        <v>1320</v>
      </c>
      <c r="AX169" t="s">
        <v>1321</v>
      </c>
      <c r="AY169" t="s">
        <v>1322</v>
      </c>
      <c r="AZ169" t="s">
        <v>327</v>
      </c>
      <c r="BA169" t="s">
        <v>328</v>
      </c>
      <c r="BB169" t="s">
        <v>329</v>
      </c>
      <c r="BC169" t="s">
        <v>330</v>
      </c>
      <c r="BD169" t="s">
        <v>289</v>
      </c>
      <c r="BE169" t="s">
        <v>331</v>
      </c>
      <c r="BF169" t="s">
        <v>332</v>
      </c>
    </row>
    <row r="170" spans="1:58">
      <c r="A170" t="s">
        <v>311</v>
      </c>
      <c r="B170" t="s">
        <v>4676</v>
      </c>
      <c r="I170" t="s">
        <v>4677</v>
      </c>
      <c r="K170" t="s">
        <v>4678</v>
      </c>
      <c r="L170" t="s">
        <v>1278</v>
      </c>
      <c r="M170" t="s">
        <v>1279</v>
      </c>
      <c r="N170" t="s">
        <v>1280</v>
      </c>
      <c r="O170" t="s">
        <v>4679</v>
      </c>
      <c r="P170" t="s">
        <v>4680</v>
      </c>
      <c r="R170" t="s">
        <v>4681</v>
      </c>
      <c r="T170" t="s">
        <v>4682</v>
      </c>
      <c r="V170" t="s">
        <v>4683</v>
      </c>
      <c r="X170" t="s">
        <v>4684</v>
      </c>
      <c r="Z170" t="s">
        <v>4685</v>
      </c>
      <c r="AB170" t="s">
        <v>4686</v>
      </c>
      <c r="AD170" t="s">
        <v>4687</v>
      </c>
      <c r="AF170" t="s">
        <v>4688</v>
      </c>
      <c r="AH170" t="s">
        <v>4689</v>
      </c>
      <c r="AJ170" t="s">
        <v>830</v>
      </c>
      <c r="AL170" t="s">
        <v>4690</v>
      </c>
      <c r="AN170" t="s">
        <v>4691</v>
      </c>
      <c r="AP170" t="s">
        <v>4692</v>
      </c>
      <c r="AQ170" t="s">
        <v>4693</v>
      </c>
    </row>
    <row r="171" spans="1:58">
      <c r="A171" t="s">
        <v>311</v>
      </c>
      <c r="B171" t="s">
        <v>4694</v>
      </c>
      <c r="I171" t="s">
        <v>4695</v>
      </c>
      <c r="K171" t="s">
        <v>4696</v>
      </c>
      <c r="L171" t="s">
        <v>1278</v>
      </c>
      <c r="M171" t="s">
        <v>1279</v>
      </c>
      <c r="N171" t="s">
        <v>1280</v>
      </c>
      <c r="O171" t="s">
        <v>4697</v>
      </c>
      <c r="P171" t="s">
        <v>4698</v>
      </c>
      <c r="R171" t="s">
        <v>4699</v>
      </c>
      <c r="T171" t="s">
        <v>4700</v>
      </c>
      <c r="V171" t="s">
        <v>4701</v>
      </c>
      <c r="X171" t="s">
        <v>4702</v>
      </c>
      <c r="Z171" t="s">
        <v>4703</v>
      </c>
      <c r="AB171" t="s">
        <v>4704</v>
      </c>
      <c r="AD171" t="s">
        <v>4705</v>
      </c>
      <c r="AF171" t="s">
        <v>4706</v>
      </c>
      <c r="AH171" t="s">
        <v>4707</v>
      </c>
      <c r="AJ171" t="s">
        <v>830</v>
      </c>
      <c r="AL171" t="s">
        <v>4708</v>
      </c>
      <c r="AN171" t="s">
        <v>4709</v>
      </c>
      <c r="AP171" t="s">
        <v>4710</v>
      </c>
      <c r="AQ171" t="s">
        <v>4711</v>
      </c>
    </row>
    <row r="172" spans="1:58">
      <c r="A172" t="s">
        <v>311</v>
      </c>
      <c r="B172" t="s">
        <v>4712</v>
      </c>
      <c r="I172" t="s">
        <v>4713</v>
      </c>
      <c r="K172" t="s">
        <v>4714</v>
      </c>
      <c r="L172" t="s">
        <v>1278</v>
      </c>
      <c r="M172" t="s">
        <v>1279</v>
      </c>
      <c r="N172" t="s">
        <v>1280</v>
      </c>
      <c r="O172" t="s">
        <v>4715</v>
      </c>
      <c r="P172" t="s">
        <v>4716</v>
      </c>
      <c r="R172" t="s">
        <v>4717</v>
      </c>
      <c r="T172" t="s">
        <v>4718</v>
      </c>
      <c r="V172" t="s">
        <v>4719</v>
      </c>
      <c r="X172" t="s">
        <v>4720</v>
      </c>
      <c r="Z172" t="s">
        <v>4721</v>
      </c>
      <c r="AB172" t="s">
        <v>4722</v>
      </c>
      <c r="AD172" t="s">
        <v>4723</v>
      </c>
      <c r="AF172" t="s">
        <v>4724</v>
      </c>
      <c r="AH172" t="s">
        <v>4725</v>
      </c>
      <c r="AJ172" t="s">
        <v>830</v>
      </c>
      <c r="AL172" t="s">
        <v>4726</v>
      </c>
      <c r="AN172" t="s">
        <v>4727</v>
      </c>
      <c r="AP172" t="s">
        <v>4728</v>
      </c>
      <c r="AQ172" t="s">
        <v>4729</v>
      </c>
    </row>
    <row r="173" spans="1:58">
      <c r="A173" t="s">
        <v>311</v>
      </c>
      <c r="B173" t="s">
        <v>4730</v>
      </c>
      <c r="I173" t="s">
        <v>4731</v>
      </c>
      <c r="K173" t="s">
        <v>3589</v>
      </c>
      <c r="L173" t="s">
        <v>1278</v>
      </c>
      <c r="M173" t="s">
        <v>1279</v>
      </c>
      <c r="N173" t="s">
        <v>1280</v>
      </c>
      <c r="O173" t="s">
        <v>4732</v>
      </c>
      <c r="P173" t="s">
        <v>4733</v>
      </c>
      <c r="R173" t="s">
        <v>4734</v>
      </c>
      <c r="T173" t="s">
        <v>4735</v>
      </c>
      <c r="V173" t="s">
        <v>4736</v>
      </c>
      <c r="X173" t="s">
        <v>4737</v>
      </c>
      <c r="Z173" t="s">
        <v>4738</v>
      </c>
      <c r="AB173" t="s">
        <v>4739</v>
      </c>
      <c r="AD173" t="s">
        <v>4740</v>
      </c>
      <c r="AF173" t="s">
        <v>4741</v>
      </c>
      <c r="AH173" t="s">
        <v>4742</v>
      </c>
      <c r="AJ173" t="s">
        <v>830</v>
      </c>
      <c r="AL173" t="s">
        <v>4743</v>
      </c>
      <c r="AN173" t="s">
        <v>4744</v>
      </c>
      <c r="AP173" t="s">
        <v>4745</v>
      </c>
      <c r="AQ173" t="s">
        <v>4746</v>
      </c>
    </row>
    <row r="174" spans="1:58">
      <c r="A174" t="s">
        <v>311</v>
      </c>
      <c r="B174" t="s">
        <v>4747</v>
      </c>
      <c r="I174" t="s">
        <v>4748</v>
      </c>
      <c r="K174" t="s">
        <v>4219</v>
      </c>
      <c r="L174" t="s">
        <v>1278</v>
      </c>
      <c r="M174" t="s">
        <v>1279</v>
      </c>
      <c r="N174" t="s">
        <v>1280</v>
      </c>
      <c r="O174" t="s">
        <v>4749</v>
      </c>
      <c r="P174" t="s">
        <v>4750</v>
      </c>
      <c r="R174" t="s">
        <v>4751</v>
      </c>
      <c r="T174" t="s">
        <v>4752</v>
      </c>
      <c r="V174" t="s">
        <v>4753</v>
      </c>
      <c r="X174" t="s">
        <v>4754</v>
      </c>
      <c r="Z174" t="s">
        <v>4755</v>
      </c>
      <c r="AB174" t="s">
        <v>4756</v>
      </c>
      <c r="AD174" t="s">
        <v>4757</v>
      </c>
      <c r="AF174" t="s">
        <v>4758</v>
      </c>
      <c r="AH174" t="s">
        <v>4759</v>
      </c>
      <c r="AJ174" t="s">
        <v>830</v>
      </c>
      <c r="AL174" t="s">
        <v>4760</v>
      </c>
      <c r="AN174" t="s">
        <v>4761</v>
      </c>
      <c r="AP174" t="s">
        <v>4762</v>
      </c>
      <c r="AQ174" t="s">
        <v>4763</v>
      </c>
    </row>
    <row r="175" spans="1:58">
      <c r="A175" t="s">
        <v>311</v>
      </c>
      <c r="B175" t="s">
        <v>4764</v>
      </c>
      <c r="I175" t="s">
        <v>4765</v>
      </c>
      <c r="K175" t="s">
        <v>4766</v>
      </c>
      <c r="L175" t="s">
        <v>1278</v>
      </c>
      <c r="M175" t="s">
        <v>1279</v>
      </c>
      <c r="N175" t="s">
        <v>1280</v>
      </c>
      <c r="O175" t="s">
        <v>4767</v>
      </c>
      <c r="P175" t="s">
        <v>4768</v>
      </c>
      <c r="R175" t="s">
        <v>4769</v>
      </c>
      <c r="T175" t="s">
        <v>4770</v>
      </c>
      <c r="V175" t="s">
        <v>4771</v>
      </c>
      <c r="X175" t="s">
        <v>4772</v>
      </c>
      <c r="Z175" t="s">
        <v>4773</v>
      </c>
      <c r="AB175" t="s">
        <v>4774</v>
      </c>
      <c r="AD175" t="s">
        <v>4775</v>
      </c>
      <c r="AF175" t="s">
        <v>4776</v>
      </c>
      <c r="AH175" t="s">
        <v>4777</v>
      </c>
      <c r="AJ175" t="s">
        <v>830</v>
      </c>
      <c r="AL175" t="s">
        <v>4778</v>
      </c>
      <c r="AN175" t="s">
        <v>4779</v>
      </c>
      <c r="AP175" t="s">
        <v>4780</v>
      </c>
      <c r="AQ175" t="s">
        <v>4781</v>
      </c>
    </row>
    <row r="176" spans="1:58">
      <c r="A176" t="s">
        <v>311</v>
      </c>
      <c r="B176" t="s">
        <v>4782</v>
      </c>
      <c r="I176" t="s">
        <v>4783</v>
      </c>
      <c r="K176" t="s">
        <v>4784</v>
      </c>
      <c r="L176" t="s">
        <v>1278</v>
      </c>
      <c r="M176" t="s">
        <v>1279</v>
      </c>
      <c r="N176" t="s">
        <v>1280</v>
      </c>
      <c r="O176" t="s">
        <v>4785</v>
      </c>
      <c r="P176" t="s">
        <v>4786</v>
      </c>
      <c r="R176" t="s">
        <v>4787</v>
      </c>
      <c r="T176" t="s">
        <v>4788</v>
      </c>
      <c r="V176" t="s">
        <v>4789</v>
      </c>
      <c r="X176" t="s">
        <v>4790</v>
      </c>
      <c r="Z176" t="s">
        <v>4791</v>
      </c>
      <c r="AB176" t="s">
        <v>4792</v>
      </c>
      <c r="AD176" t="s">
        <v>4793</v>
      </c>
      <c r="AF176" t="s">
        <v>4794</v>
      </c>
      <c r="AH176" t="s">
        <v>4795</v>
      </c>
      <c r="AJ176" t="s">
        <v>830</v>
      </c>
      <c r="AL176" t="s">
        <v>4796</v>
      </c>
      <c r="AN176" t="s">
        <v>4797</v>
      </c>
      <c r="AP176" t="s">
        <v>4798</v>
      </c>
      <c r="AQ176" t="s">
        <v>4799</v>
      </c>
    </row>
    <row r="177" spans="1:43">
      <c r="A177" t="s">
        <v>311</v>
      </c>
      <c r="B177" t="s">
        <v>4800</v>
      </c>
      <c r="I177" t="s">
        <v>4801</v>
      </c>
      <c r="K177" t="s">
        <v>3974</v>
      </c>
      <c r="L177" t="s">
        <v>1278</v>
      </c>
      <c r="M177" t="s">
        <v>1279</v>
      </c>
      <c r="N177" t="s">
        <v>1280</v>
      </c>
      <c r="O177" t="s">
        <v>4802</v>
      </c>
      <c r="P177" t="s">
        <v>4803</v>
      </c>
      <c r="R177" t="s">
        <v>4804</v>
      </c>
      <c r="T177" t="s">
        <v>4805</v>
      </c>
      <c r="V177" t="s">
        <v>4806</v>
      </c>
      <c r="X177" t="s">
        <v>4807</v>
      </c>
      <c r="Z177" t="s">
        <v>4808</v>
      </c>
      <c r="AB177" t="s">
        <v>4809</v>
      </c>
      <c r="AD177" t="s">
        <v>4810</v>
      </c>
      <c r="AF177" t="s">
        <v>4811</v>
      </c>
      <c r="AH177" t="s">
        <v>4812</v>
      </c>
      <c r="AJ177" t="s">
        <v>830</v>
      </c>
      <c r="AL177" t="s">
        <v>4813</v>
      </c>
      <c r="AN177" t="s">
        <v>4814</v>
      </c>
      <c r="AP177" t="s">
        <v>4815</v>
      </c>
      <c r="AQ177" t="s">
        <v>4816</v>
      </c>
    </row>
    <row r="178" spans="1:43">
      <c r="A178" t="s">
        <v>311</v>
      </c>
      <c r="B178" t="s">
        <v>4817</v>
      </c>
      <c r="I178" t="s">
        <v>4818</v>
      </c>
      <c r="K178" t="s">
        <v>4237</v>
      </c>
      <c r="L178" t="s">
        <v>1278</v>
      </c>
      <c r="M178" t="s">
        <v>1279</v>
      </c>
      <c r="N178" t="s">
        <v>1280</v>
      </c>
      <c r="O178" t="s">
        <v>4819</v>
      </c>
      <c r="P178" t="s">
        <v>4820</v>
      </c>
      <c r="R178" t="s">
        <v>4821</v>
      </c>
      <c r="T178" t="s">
        <v>4822</v>
      </c>
      <c r="V178" t="s">
        <v>4823</v>
      </c>
      <c r="X178" t="s">
        <v>4824</v>
      </c>
      <c r="Z178" t="s">
        <v>4825</v>
      </c>
      <c r="AB178" t="s">
        <v>4826</v>
      </c>
      <c r="AD178" t="s">
        <v>4827</v>
      </c>
      <c r="AF178" t="s">
        <v>4828</v>
      </c>
      <c r="AH178" t="s">
        <v>4829</v>
      </c>
      <c r="AJ178" t="s">
        <v>830</v>
      </c>
      <c r="AL178" t="s">
        <v>4830</v>
      </c>
      <c r="AN178" t="s">
        <v>4831</v>
      </c>
      <c r="AP178" t="s">
        <v>4832</v>
      </c>
      <c r="AQ178" t="s">
        <v>4833</v>
      </c>
    </row>
    <row r="179" spans="1:43">
      <c r="A179" t="s">
        <v>311</v>
      </c>
      <c r="B179" t="s">
        <v>4834</v>
      </c>
      <c r="I179" t="s">
        <v>4835</v>
      </c>
      <c r="K179" t="s">
        <v>4309</v>
      </c>
      <c r="L179" t="s">
        <v>1278</v>
      </c>
      <c r="M179" t="s">
        <v>1279</v>
      </c>
      <c r="N179" t="s">
        <v>1280</v>
      </c>
      <c r="O179" t="s">
        <v>4836</v>
      </c>
      <c r="P179" t="s">
        <v>4837</v>
      </c>
      <c r="R179" t="s">
        <v>4838</v>
      </c>
      <c r="T179" t="s">
        <v>4839</v>
      </c>
      <c r="V179" t="s">
        <v>4840</v>
      </c>
      <c r="X179" t="s">
        <v>4841</v>
      </c>
      <c r="Z179" t="s">
        <v>4842</v>
      </c>
      <c r="AB179" t="s">
        <v>4843</v>
      </c>
      <c r="AD179" t="s">
        <v>4844</v>
      </c>
      <c r="AF179" t="s">
        <v>4845</v>
      </c>
      <c r="AH179" t="s">
        <v>4846</v>
      </c>
      <c r="AJ179" t="s">
        <v>830</v>
      </c>
      <c r="AL179" t="s">
        <v>4847</v>
      </c>
      <c r="AN179" t="s">
        <v>4848</v>
      </c>
      <c r="AP179" t="s">
        <v>4849</v>
      </c>
      <c r="AQ179" t="s">
        <v>4850</v>
      </c>
    </row>
    <row r="180" spans="1:43">
      <c r="A180" t="s">
        <v>311</v>
      </c>
      <c r="B180" t="s">
        <v>4851</v>
      </c>
      <c r="I180" t="s">
        <v>4852</v>
      </c>
      <c r="K180" t="s">
        <v>4853</v>
      </c>
      <c r="L180" t="s">
        <v>1278</v>
      </c>
      <c r="M180" t="s">
        <v>1279</v>
      </c>
      <c r="N180" t="s">
        <v>1280</v>
      </c>
      <c r="O180" t="s">
        <v>4854</v>
      </c>
      <c r="P180" t="s">
        <v>4855</v>
      </c>
      <c r="R180" t="s">
        <v>4856</v>
      </c>
      <c r="T180" t="s">
        <v>4857</v>
      </c>
      <c r="V180" t="s">
        <v>4858</v>
      </c>
      <c r="X180" t="s">
        <v>4859</v>
      </c>
      <c r="Z180" t="s">
        <v>4860</v>
      </c>
      <c r="AB180" t="s">
        <v>4861</v>
      </c>
      <c r="AD180" t="s">
        <v>4862</v>
      </c>
      <c r="AF180" t="s">
        <v>4863</v>
      </c>
      <c r="AH180" t="s">
        <v>4864</v>
      </c>
      <c r="AJ180" t="s">
        <v>830</v>
      </c>
      <c r="AL180" t="s">
        <v>4865</v>
      </c>
      <c r="AN180" t="s">
        <v>4866</v>
      </c>
      <c r="AP180" t="s">
        <v>4867</v>
      </c>
      <c r="AQ180" t="s">
        <v>4868</v>
      </c>
    </row>
    <row r="181" spans="1:43">
      <c r="A181" t="s">
        <v>311</v>
      </c>
      <c r="B181" t="s">
        <v>4869</v>
      </c>
      <c r="I181" t="s">
        <v>4870</v>
      </c>
      <c r="K181" t="s">
        <v>3992</v>
      </c>
      <c r="L181" t="s">
        <v>1278</v>
      </c>
      <c r="M181" t="s">
        <v>1279</v>
      </c>
      <c r="N181" t="s">
        <v>1280</v>
      </c>
      <c r="O181" t="s">
        <v>4871</v>
      </c>
      <c r="P181" t="s">
        <v>4872</v>
      </c>
      <c r="R181" t="s">
        <v>4873</v>
      </c>
      <c r="T181" t="s">
        <v>4874</v>
      </c>
      <c r="V181" t="s">
        <v>4875</v>
      </c>
      <c r="X181" t="s">
        <v>4876</v>
      </c>
      <c r="Z181" t="s">
        <v>4877</v>
      </c>
      <c r="AB181" t="s">
        <v>4878</v>
      </c>
      <c r="AD181" t="s">
        <v>4879</v>
      </c>
      <c r="AF181" t="s">
        <v>4880</v>
      </c>
      <c r="AH181" t="s">
        <v>4881</v>
      </c>
      <c r="AJ181" t="s">
        <v>830</v>
      </c>
      <c r="AL181" t="s">
        <v>4882</v>
      </c>
      <c r="AN181" t="s">
        <v>4883</v>
      </c>
      <c r="AP181" t="s">
        <v>4884</v>
      </c>
      <c r="AQ181" t="s">
        <v>4885</v>
      </c>
    </row>
    <row r="182" spans="1:43">
      <c r="A182" t="s">
        <v>311</v>
      </c>
      <c r="B182" t="s">
        <v>4886</v>
      </c>
      <c r="I182" t="s">
        <v>4887</v>
      </c>
      <c r="K182" t="s">
        <v>4888</v>
      </c>
      <c r="L182" t="s">
        <v>1278</v>
      </c>
      <c r="M182" t="s">
        <v>1279</v>
      </c>
      <c r="N182" t="s">
        <v>1280</v>
      </c>
      <c r="O182" t="s">
        <v>4889</v>
      </c>
      <c r="P182" t="s">
        <v>4890</v>
      </c>
      <c r="R182" t="s">
        <v>4891</v>
      </c>
      <c r="T182" t="s">
        <v>4892</v>
      </c>
      <c r="V182" t="s">
        <v>4893</v>
      </c>
      <c r="X182" t="s">
        <v>4894</v>
      </c>
      <c r="Z182" t="s">
        <v>4895</v>
      </c>
      <c r="AB182" t="s">
        <v>4896</v>
      </c>
      <c r="AD182" t="s">
        <v>4897</v>
      </c>
      <c r="AF182" t="s">
        <v>4898</v>
      </c>
      <c r="AH182" t="s">
        <v>4899</v>
      </c>
      <c r="AJ182" t="s">
        <v>830</v>
      </c>
      <c r="AL182" t="s">
        <v>4900</v>
      </c>
      <c r="AN182" t="s">
        <v>4901</v>
      </c>
      <c r="AP182" t="s">
        <v>4902</v>
      </c>
      <c r="AQ182" t="s">
        <v>4903</v>
      </c>
    </row>
    <row r="183" spans="1:43">
      <c r="A183" t="s">
        <v>311</v>
      </c>
      <c r="B183" t="s">
        <v>4904</v>
      </c>
      <c r="I183" t="s">
        <v>4905</v>
      </c>
      <c r="K183" t="s">
        <v>4010</v>
      </c>
      <c r="L183" t="s">
        <v>1278</v>
      </c>
      <c r="M183" t="s">
        <v>1279</v>
      </c>
      <c r="N183" t="s">
        <v>1280</v>
      </c>
      <c r="O183" t="s">
        <v>4906</v>
      </c>
      <c r="P183" t="s">
        <v>4907</v>
      </c>
      <c r="R183" t="s">
        <v>4908</v>
      </c>
      <c r="T183" t="s">
        <v>4909</v>
      </c>
      <c r="V183" t="s">
        <v>4910</v>
      </c>
      <c r="X183" t="s">
        <v>4911</v>
      </c>
      <c r="Z183" t="s">
        <v>4912</v>
      </c>
      <c r="AB183" t="s">
        <v>4913</v>
      </c>
      <c r="AD183" t="s">
        <v>4914</v>
      </c>
      <c r="AF183" t="s">
        <v>4915</v>
      </c>
      <c r="AH183" t="s">
        <v>4916</v>
      </c>
      <c r="AJ183" t="s">
        <v>830</v>
      </c>
      <c r="AL183" t="s">
        <v>4917</v>
      </c>
      <c r="AN183" t="s">
        <v>4918</v>
      </c>
      <c r="AP183" t="s">
        <v>4919</v>
      </c>
      <c r="AQ183" t="s">
        <v>4920</v>
      </c>
    </row>
    <row r="184" spans="1:43">
      <c r="A184" t="s">
        <v>311</v>
      </c>
      <c r="B184" t="s">
        <v>4921</v>
      </c>
      <c r="I184" t="s">
        <v>4922</v>
      </c>
      <c r="K184" t="s">
        <v>4923</v>
      </c>
      <c r="L184" t="s">
        <v>1278</v>
      </c>
      <c r="M184" t="s">
        <v>1279</v>
      </c>
      <c r="N184" t="s">
        <v>1280</v>
      </c>
      <c r="O184" t="s">
        <v>4924</v>
      </c>
      <c r="P184" t="s">
        <v>4925</v>
      </c>
      <c r="R184" t="s">
        <v>4926</v>
      </c>
      <c r="T184" t="s">
        <v>4927</v>
      </c>
      <c r="V184" t="s">
        <v>4928</v>
      </c>
      <c r="X184" t="s">
        <v>4929</v>
      </c>
      <c r="Z184" t="s">
        <v>4930</v>
      </c>
      <c r="AB184" t="s">
        <v>4931</v>
      </c>
      <c r="AD184" t="s">
        <v>4932</v>
      </c>
      <c r="AF184" t="s">
        <v>4933</v>
      </c>
      <c r="AH184" t="s">
        <v>4934</v>
      </c>
      <c r="AJ184" t="s">
        <v>830</v>
      </c>
      <c r="AL184" t="s">
        <v>4935</v>
      </c>
      <c r="AN184" t="s">
        <v>4936</v>
      </c>
      <c r="AP184" t="s">
        <v>4937</v>
      </c>
      <c r="AQ184" t="s">
        <v>4938</v>
      </c>
    </row>
    <row r="185" spans="1:43">
      <c r="A185" t="s">
        <v>311</v>
      </c>
      <c r="B185" t="s">
        <v>4939</v>
      </c>
      <c r="I185" t="s">
        <v>4940</v>
      </c>
      <c r="K185" t="s">
        <v>4941</v>
      </c>
      <c r="L185" t="s">
        <v>1278</v>
      </c>
      <c r="M185" t="s">
        <v>1279</v>
      </c>
      <c r="N185" t="s">
        <v>1280</v>
      </c>
      <c r="O185" t="s">
        <v>4942</v>
      </c>
      <c r="P185" t="s">
        <v>4943</v>
      </c>
      <c r="R185" t="s">
        <v>4944</v>
      </c>
      <c r="T185" t="s">
        <v>4945</v>
      </c>
      <c r="V185" t="s">
        <v>4946</v>
      </c>
      <c r="X185" t="s">
        <v>4947</v>
      </c>
      <c r="Z185" t="s">
        <v>4948</v>
      </c>
      <c r="AB185" t="s">
        <v>4949</v>
      </c>
      <c r="AD185" t="s">
        <v>4950</v>
      </c>
      <c r="AF185" t="s">
        <v>4951</v>
      </c>
      <c r="AH185" t="s">
        <v>4952</v>
      </c>
      <c r="AJ185" t="s">
        <v>830</v>
      </c>
      <c r="AL185" t="s">
        <v>4953</v>
      </c>
      <c r="AN185" t="s">
        <v>4954</v>
      </c>
      <c r="AP185" t="s">
        <v>4955</v>
      </c>
      <c r="AQ185" t="s">
        <v>4956</v>
      </c>
    </row>
    <row r="186" spans="1:43">
      <c r="A186" t="s">
        <v>311</v>
      </c>
      <c r="B186" t="s">
        <v>4957</v>
      </c>
      <c r="I186" t="s">
        <v>4958</v>
      </c>
      <c r="K186" t="s">
        <v>4959</v>
      </c>
      <c r="L186" t="s">
        <v>1278</v>
      </c>
      <c r="M186" t="s">
        <v>1279</v>
      </c>
      <c r="N186" t="s">
        <v>1280</v>
      </c>
      <c r="O186" t="s">
        <v>4960</v>
      </c>
      <c r="P186" t="s">
        <v>4961</v>
      </c>
      <c r="R186" t="s">
        <v>4962</v>
      </c>
      <c r="T186" t="s">
        <v>4963</v>
      </c>
      <c r="V186" t="s">
        <v>4964</v>
      </c>
      <c r="X186" t="s">
        <v>4965</v>
      </c>
      <c r="Z186" t="s">
        <v>4966</v>
      </c>
      <c r="AB186" t="s">
        <v>4967</v>
      </c>
      <c r="AD186" t="s">
        <v>4968</v>
      </c>
      <c r="AF186" t="s">
        <v>4969</v>
      </c>
      <c r="AH186" t="s">
        <v>4970</v>
      </c>
      <c r="AJ186" t="s">
        <v>830</v>
      </c>
      <c r="AL186" t="s">
        <v>4971</v>
      </c>
      <c r="AN186" t="s">
        <v>4972</v>
      </c>
      <c r="AP186" t="s">
        <v>4973</v>
      </c>
      <c r="AQ186" t="s">
        <v>4974</v>
      </c>
    </row>
    <row r="187" spans="1:43">
      <c r="A187" t="s">
        <v>311</v>
      </c>
      <c r="B187" t="s">
        <v>4975</v>
      </c>
      <c r="I187" t="s">
        <v>4976</v>
      </c>
      <c r="K187" t="s">
        <v>4977</v>
      </c>
      <c r="L187" t="s">
        <v>1278</v>
      </c>
      <c r="M187" t="s">
        <v>1279</v>
      </c>
      <c r="N187" t="s">
        <v>1280</v>
      </c>
      <c r="O187" t="s">
        <v>4978</v>
      </c>
      <c r="P187" t="s">
        <v>4979</v>
      </c>
      <c r="R187" t="s">
        <v>4980</v>
      </c>
      <c r="T187" t="s">
        <v>4981</v>
      </c>
      <c r="V187" t="s">
        <v>4982</v>
      </c>
      <c r="X187" t="s">
        <v>4983</v>
      </c>
      <c r="Z187" t="s">
        <v>4984</v>
      </c>
      <c r="AB187" t="s">
        <v>4985</v>
      </c>
      <c r="AD187" t="s">
        <v>4986</v>
      </c>
      <c r="AF187" t="s">
        <v>4987</v>
      </c>
      <c r="AH187" t="s">
        <v>4988</v>
      </c>
      <c r="AJ187" t="s">
        <v>830</v>
      </c>
      <c r="AL187" t="s">
        <v>4989</v>
      </c>
      <c r="AN187" t="s">
        <v>4990</v>
      </c>
      <c r="AP187" t="s">
        <v>4991</v>
      </c>
      <c r="AQ187" t="s">
        <v>4992</v>
      </c>
    </row>
    <row r="188" spans="1:43">
      <c r="A188" t="s">
        <v>311</v>
      </c>
      <c r="B188" t="s">
        <v>4993</v>
      </c>
      <c r="I188" t="s">
        <v>4994</v>
      </c>
      <c r="K188" t="s">
        <v>4995</v>
      </c>
      <c r="L188" t="s">
        <v>1278</v>
      </c>
      <c r="M188" t="s">
        <v>1279</v>
      </c>
      <c r="N188" t="s">
        <v>1280</v>
      </c>
      <c r="O188" t="s">
        <v>4996</v>
      </c>
      <c r="P188" t="s">
        <v>4997</v>
      </c>
      <c r="R188" t="s">
        <v>4998</v>
      </c>
      <c r="T188" t="s">
        <v>4999</v>
      </c>
      <c r="V188" t="s">
        <v>5000</v>
      </c>
      <c r="X188" t="s">
        <v>5001</v>
      </c>
      <c r="Z188" t="s">
        <v>5002</v>
      </c>
      <c r="AB188" t="s">
        <v>5003</v>
      </c>
      <c r="AD188" t="s">
        <v>5004</v>
      </c>
      <c r="AF188" t="s">
        <v>5005</v>
      </c>
      <c r="AH188" t="s">
        <v>5006</v>
      </c>
      <c r="AJ188" t="s">
        <v>830</v>
      </c>
      <c r="AL188" t="s">
        <v>5007</v>
      </c>
      <c r="AN188" t="s">
        <v>5008</v>
      </c>
      <c r="AP188" t="s">
        <v>5009</v>
      </c>
      <c r="AQ188" t="s">
        <v>5010</v>
      </c>
    </row>
    <row r="189" spans="1:43">
      <c r="A189" t="s">
        <v>311</v>
      </c>
      <c r="B189" t="s">
        <v>5011</v>
      </c>
      <c r="I189" t="s">
        <v>5012</v>
      </c>
      <c r="K189" t="s">
        <v>5013</v>
      </c>
      <c r="L189" t="s">
        <v>1278</v>
      </c>
      <c r="M189" t="s">
        <v>1279</v>
      </c>
      <c r="N189" t="s">
        <v>1280</v>
      </c>
      <c r="O189" t="s">
        <v>5014</v>
      </c>
      <c r="P189" t="s">
        <v>5015</v>
      </c>
      <c r="R189" t="s">
        <v>5016</v>
      </c>
      <c r="T189" t="s">
        <v>5017</v>
      </c>
      <c r="V189" t="s">
        <v>5018</v>
      </c>
      <c r="X189" t="s">
        <v>5019</v>
      </c>
      <c r="Z189" t="s">
        <v>5020</v>
      </c>
      <c r="AB189" t="s">
        <v>5021</v>
      </c>
      <c r="AD189" t="s">
        <v>5022</v>
      </c>
      <c r="AF189" t="s">
        <v>5023</v>
      </c>
      <c r="AH189" t="s">
        <v>5024</v>
      </c>
      <c r="AJ189" t="s">
        <v>830</v>
      </c>
      <c r="AL189" t="s">
        <v>5025</v>
      </c>
      <c r="AN189" t="s">
        <v>5026</v>
      </c>
      <c r="AP189" t="s">
        <v>5027</v>
      </c>
      <c r="AQ189" t="s">
        <v>5028</v>
      </c>
    </row>
    <row r="190" spans="1:43">
      <c r="A190" t="s">
        <v>311</v>
      </c>
      <c r="B190" t="s">
        <v>5029</v>
      </c>
      <c r="I190" t="s">
        <v>5030</v>
      </c>
      <c r="K190" t="s">
        <v>5031</v>
      </c>
      <c r="L190" t="s">
        <v>1278</v>
      </c>
      <c r="M190" t="s">
        <v>1279</v>
      </c>
      <c r="N190" t="s">
        <v>1280</v>
      </c>
      <c r="O190" t="s">
        <v>5032</v>
      </c>
      <c r="P190" t="s">
        <v>5033</v>
      </c>
      <c r="R190" t="s">
        <v>5034</v>
      </c>
      <c r="T190" t="s">
        <v>5035</v>
      </c>
      <c r="V190" t="s">
        <v>5036</v>
      </c>
      <c r="X190" t="s">
        <v>5037</v>
      </c>
      <c r="Z190" t="s">
        <v>5038</v>
      </c>
      <c r="AB190" t="s">
        <v>5039</v>
      </c>
      <c r="AD190" t="s">
        <v>5040</v>
      </c>
      <c r="AF190" t="s">
        <v>5041</v>
      </c>
      <c r="AH190" t="s">
        <v>5042</v>
      </c>
      <c r="AJ190" t="s">
        <v>830</v>
      </c>
      <c r="AL190" t="s">
        <v>5043</v>
      </c>
      <c r="AN190" t="s">
        <v>5044</v>
      </c>
      <c r="AP190" t="s">
        <v>5045</v>
      </c>
      <c r="AQ190" t="s">
        <v>5046</v>
      </c>
    </row>
    <row r="191" spans="1:43">
      <c r="A191" t="s">
        <v>311</v>
      </c>
      <c r="B191" t="s">
        <v>5047</v>
      </c>
      <c r="I191" t="s">
        <v>5048</v>
      </c>
      <c r="K191" t="s">
        <v>3684</v>
      </c>
      <c r="L191" t="s">
        <v>1278</v>
      </c>
      <c r="M191" t="s">
        <v>1279</v>
      </c>
      <c r="N191" t="s">
        <v>1280</v>
      </c>
      <c r="O191" t="s">
        <v>5049</v>
      </c>
      <c r="P191" t="s">
        <v>5050</v>
      </c>
      <c r="R191" t="s">
        <v>5051</v>
      </c>
      <c r="T191" t="s">
        <v>5052</v>
      </c>
      <c r="V191" t="s">
        <v>5053</v>
      </c>
      <c r="X191" t="s">
        <v>5054</v>
      </c>
      <c r="Z191" t="s">
        <v>5055</v>
      </c>
      <c r="AB191" t="s">
        <v>5056</v>
      </c>
      <c r="AD191" t="s">
        <v>5057</v>
      </c>
      <c r="AF191" t="s">
        <v>5058</v>
      </c>
      <c r="AH191" t="s">
        <v>5059</v>
      </c>
      <c r="AJ191" t="s">
        <v>830</v>
      </c>
      <c r="AL191" t="s">
        <v>5060</v>
      </c>
      <c r="AN191" t="s">
        <v>5061</v>
      </c>
      <c r="AP191" t="s">
        <v>5062</v>
      </c>
      <c r="AQ191" t="s">
        <v>5063</v>
      </c>
    </row>
    <row r="192" spans="1:43">
      <c r="A192" t="s">
        <v>311</v>
      </c>
      <c r="B192" t="s">
        <v>5064</v>
      </c>
      <c r="I192" t="s">
        <v>5065</v>
      </c>
      <c r="K192" t="s">
        <v>5066</v>
      </c>
      <c r="L192" t="s">
        <v>1278</v>
      </c>
      <c r="M192" t="s">
        <v>1279</v>
      </c>
      <c r="N192" t="s">
        <v>1280</v>
      </c>
      <c r="O192" t="s">
        <v>5067</v>
      </c>
      <c r="P192" t="s">
        <v>5068</v>
      </c>
      <c r="R192" t="s">
        <v>5069</v>
      </c>
      <c r="T192" t="s">
        <v>5070</v>
      </c>
      <c r="V192" t="s">
        <v>5071</v>
      </c>
      <c r="X192" t="s">
        <v>5072</v>
      </c>
      <c r="Z192" t="s">
        <v>5073</v>
      </c>
      <c r="AB192" t="s">
        <v>5074</v>
      </c>
      <c r="AD192" t="s">
        <v>5075</v>
      </c>
      <c r="AF192" t="s">
        <v>5076</v>
      </c>
      <c r="AH192" t="s">
        <v>5077</v>
      </c>
      <c r="AJ192" t="s">
        <v>830</v>
      </c>
      <c r="AL192" t="s">
        <v>5078</v>
      </c>
      <c r="AN192" t="s">
        <v>5079</v>
      </c>
      <c r="AP192" t="s">
        <v>5080</v>
      </c>
      <c r="AQ192" t="s">
        <v>5081</v>
      </c>
    </row>
    <row r="193" spans="1:58">
      <c r="A193" t="s">
        <v>311</v>
      </c>
      <c r="B193" t="s">
        <v>5082</v>
      </c>
      <c r="I193" t="s">
        <v>5083</v>
      </c>
      <c r="K193" t="s">
        <v>5084</v>
      </c>
      <c r="L193" t="s">
        <v>1278</v>
      </c>
      <c r="M193" t="s">
        <v>1279</v>
      </c>
      <c r="N193" t="s">
        <v>1280</v>
      </c>
      <c r="O193" t="s">
        <v>5085</v>
      </c>
      <c r="P193" t="s">
        <v>5086</v>
      </c>
      <c r="R193" t="s">
        <v>5087</v>
      </c>
      <c r="T193" t="s">
        <v>5088</v>
      </c>
      <c r="V193" t="s">
        <v>5089</v>
      </c>
      <c r="X193" t="s">
        <v>5090</v>
      </c>
      <c r="Z193" t="s">
        <v>5091</v>
      </c>
      <c r="AB193" t="s">
        <v>5092</v>
      </c>
      <c r="AD193" t="s">
        <v>5093</v>
      </c>
      <c r="AF193" t="s">
        <v>5094</v>
      </c>
      <c r="AH193" t="s">
        <v>5095</v>
      </c>
      <c r="AJ193" t="s">
        <v>830</v>
      </c>
      <c r="AL193" t="s">
        <v>5096</v>
      </c>
      <c r="AN193" t="s">
        <v>5097</v>
      </c>
      <c r="AP193" t="s">
        <v>5098</v>
      </c>
      <c r="AQ193" t="s">
        <v>5099</v>
      </c>
    </row>
    <row r="194" spans="1:58">
      <c r="A194" t="s">
        <v>311</v>
      </c>
      <c r="B194" t="s">
        <v>5100</v>
      </c>
      <c r="I194" t="s">
        <v>5101</v>
      </c>
      <c r="K194" t="s">
        <v>5102</v>
      </c>
      <c r="L194" t="s">
        <v>1278</v>
      </c>
      <c r="M194" t="s">
        <v>1279</v>
      </c>
      <c r="N194" t="s">
        <v>1280</v>
      </c>
      <c r="O194" t="s">
        <v>5103</v>
      </c>
      <c r="P194" t="s">
        <v>5104</v>
      </c>
      <c r="R194" t="s">
        <v>5105</v>
      </c>
      <c r="T194" t="s">
        <v>5106</v>
      </c>
      <c r="V194" t="s">
        <v>5107</v>
      </c>
      <c r="X194" t="s">
        <v>5108</v>
      </c>
      <c r="Z194" t="s">
        <v>5109</v>
      </c>
      <c r="AB194" t="s">
        <v>5110</v>
      </c>
      <c r="AD194" t="s">
        <v>5111</v>
      </c>
      <c r="AF194" t="s">
        <v>5112</v>
      </c>
      <c r="AH194" t="s">
        <v>5113</v>
      </c>
      <c r="AJ194" t="s">
        <v>830</v>
      </c>
      <c r="AL194" t="s">
        <v>5114</v>
      </c>
      <c r="AN194" t="s">
        <v>5115</v>
      </c>
      <c r="AP194" t="s">
        <v>5116</v>
      </c>
      <c r="AQ194" t="s">
        <v>5117</v>
      </c>
    </row>
    <row r="195" spans="1:58">
      <c r="A195" t="s">
        <v>311</v>
      </c>
      <c r="B195" t="s">
        <v>5118</v>
      </c>
      <c r="I195" t="s">
        <v>5119</v>
      </c>
      <c r="K195" t="s">
        <v>5120</v>
      </c>
      <c r="L195" t="s">
        <v>1278</v>
      </c>
      <c r="M195" t="s">
        <v>1279</v>
      </c>
      <c r="N195" t="s">
        <v>1280</v>
      </c>
      <c r="O195" t="s">
        <v>5121</v>
      </c>
      <c r="P195" t="s">
        <v>5122</v>
      </c>
      <c r="R195" t="s">
        <v>5123</v>
      </c>
      <c r="T195" t="s">
        <v>5124</v>
      </c>
      <c r="V195" t="s">
        <v>5125</v>
      </c>
      <c r="X195" t="s">
        <v>5126</v>
      </c>
      <c r="Z195" t="s">
        <v>5127</v>
      </c>
      <c r="AB195" t="s">
        <v>5128</v>
      </c>
      <c r="AD195" t="s">
        <v>5129</v>
      </c>
      <c r="AF195" t="s">
        <v>5130</v>
      </c>
      <c r="AH195" t="s">
        <v>5131</v>
      </c>
      <c r="AJ195" t="s">
        <v>830</v>
      </c>
      <c r="AL195" t="s">
        <v>5132</v>
      </c>
      <c r="AN195" t="s">
        <v>5133</v>
      </c>
      <c r="AP195" t="s">
        <v>5134</v>
      </c>
      <c r="AQ195" t="s">
        <v>5135</v>
      </c>
    </row>
    <row r="196" spans="1:58">
      <c r="A196" t="s">
        <v>311</v>
      </c>
      <c r="B196" t="s">
        <v>5136</v>
      </c>
      <c r="I196" t="s">
        <v>5137</v>
      </c>
      <c r="K196" t="s">
        <v>3734</v>
      </c>
      <c r="L196" t="s">
        <v>1278</v>
      </c>
      <c r="M196" t="s">
        <v>1279</v>
      </c>
      <c r="N196" t="s">
        <v>1280</v>
      </c>
      <c r="O196" t="s">
        <v>5138</v>
      </c>
      <c r="P196" t="s">
        <v>5139</v>
      </c>
      <c r="R196" t="s">
        <v>5140</v>
      </c>
      <c r="T196" t="s">
        <v>5141</v>
      </c>
      <c r="V196" t="s">
        <v>5142</v>
      </c>
      <c r="X196" t="s">
        <v>5143</v>
      </c>
      <c r="Z196" t="s">
        <v>5144</v>
      </c>
      <c r="AB196" t="s">
        <v>5145</v>
      </c>
      <c r="AD196" t="s">
        <v>5146</v>
      </c>
      <c r="AF196" t="s">
        <v>5147</v>
      </c>
      <c r="AH196" t="s">
        <v>5148</v>
      </c>
      <c r="AJ196" t="s">
        <v>830</v>
      </c>
      <c r="AL196" t="s">
        <v>5149</v>
      </c>
      <c r="AN196" t="s">
        <v>5150</v>
      </c>
      <c r="AP196" t="s">
        <v>5151</v>
      </c>
      <c r="AQ196" t="s">
        <v>5152</v>
      </c>
    </row>
    <row r="197" spans="1:58">
      <c r="A197" t="s">
        <v>311</v>
      </c>
      <c r="B197" t="s">
        <v>5153</v>
      </c>
      <c r="I197" t="s">
        <v>5154</v>
      </c>
      <c r="K197" t="s">
        <v>5155</v>
      </c>
      <c r="L197" t="s">
        <v>1278</v>
      </c>
      <c r="M197" t="s">
        <v>1279</v>
      </c>
      <c r="N197" t="s">
        <v>1280</v>
      </c>
      <c r="O197" t="s">
        <v>5156</v>
      </c>
      <c r="P197" t="s">
        <v>5157</v>
      </c>
      <c r="R197" t="s">
        <v>5158</v>
      </c>
      <c r="T197" t="s">
        <v>5159</v>
      </c>
      <c r="V197" t="s">
        <v>5160</v>
      </c>
      <c r="X197" t="s">
        <v>5161</v>
      </c>
      <c r="Z197" t="s">
        <v>5162</v>
      </c>
      <c r="AB197" t="s">
        <v>5163</v>
      </c>
      <c r="AD197" t="s">
        <v>5164</v>
      </c>
      <c r="AF197" t="s">
        <v>5165</v>
      </c>
      <c r="AH197" t="s">
        <v>5166</v>
      </c>
      <c r="AJ197" t="s">
        <v>830</v>
      </c>
      <c r="AL197" t="s">
        <v>5167</v>
      </c>
      <c r="AN197" t="s">
        <v>5168</v>
      </c>
      <c r="AP197" t="s">
        <v>5169</v>
      </c>
      <c r="AQ197" t="s">
        <v>5170</v>
      </c>
    </row>
    <row r="198" spans="1:58">
      <c r="A198" t="s">
        <v>311</v>
      </c>
      <c r="B198" t="s">
        <v>5171</v>
      </c>
      <c r="I198" t="s">
        <v>5172</v>
      </c>
      <c r="K198" t="s">
        <v>3750</v>
      </c>
      <c r="L198" t="s">
        <v>1278</v>
      </c>
      <c r="M198" t="s">
        <v>1279</v>
      </c>
      <c r="N198" t="s">
        <v>1280</v>
      </c>
      <c r="O198" t="s">
        <v>5173</v>
      </c>
      <c r="P198" t="s">
        <v>5174</v>
      </c>
      <c r="R198" t="s">
        <v>5175</v>
      </c>
      <c r="T198" t="s">
        <v>5176</v>
      </c>
      <c r="V198" t="s">
        <v>5177</v>
      </c>
      <c r="X198" t="s">
        <v>5178</v>
      </c>
      <c r="Z198" t="s">
        <v>5179</v>
      </c>
      <c r="AB198" t="s">
        <v>5180</v>
      </c>
      <c r="AD198" t="s">
        <v>5181</v>
      </c>
      <c r="AF198" t="s">
        <v>5182</v>
      </c>
      <c r="AH198" t="s">
        <v>5183</v>
      </c>
      <c r="AJ198" t="s">
        <v>830</v>
      </c>
      <c r="AL198" t="s">
        <v>5184</v>
      </c>
      <c r="AN198" t="s">
        <v>5185</v>
      </c>
      <c r="AP198" t="s">
        <v>5186</v>
      </c>
      <c r="AQ198" t="s">
        <v>5187</v>
      </c>
    </row>
    <row r="199" spans="1:58">
      <c r="A199" t="s">
        <v>311</v>
      </c>
      <c r="B199" t="s">
        <v>5188</v>
      </c>
      <c r="I199" t="s">
        <v>5189</v>
      </c>
      <c r="K199" t="s">
        <v>5190</v>
      </c>
      <c r="L199" t="s">
        <v>1278</v>
      </c>
      <c r="M199" t="s">
        <v>1279</v>
      </c>
      <c r="N199" t="s">
        <v>1280</v>
      </c>
      <c r="O199" t="s">
        <v>5191</v>
      </c>
      <c r="P199" t="s">
        <v>5192</v>
      </c>
      <c r="R199" t="s">
        <v>5193</v>
      </c>
      <c r="T199" t="s">
        <v>5194</v>
      </c>
      <c r="V199" t="s">
        <v>5195</v>
      </c>
      <c r="X199" t="s">
        <v>5196</v>
      </c>
      <c r="Z199" t="s">
        <v>5197</v>
      </c>
      <c r="AB199" t="s">
        <v>5198</v>
      </c>
      <c r="AD199" t="s">
        <v>5199</v>
      </c>
      <c r="AF199" t="s">
        <v>5200</v>
      </c>
      <c r="AH199" t="s">
        <v>5201</v>
      </c>
      <c r="AJ199" t="s">
        <v>830</v>
      </c>
      <c r="AL199" t="s">
        <v>5202</v>
      </c>
      <c r="AN199" t="s">
        <v>5203</v>
      </c>
      <c r="AP199" t="s">
        <v>5204</v>
      </c>
      <c r="AQ199" t="s">
        <v>5205</v>
      </c>
    </row>
    <row r="200" spans="1:58">
      <c r="A200" t="s">
        <v>311</v>
      </c>
      <c r="B200" t="s">
        <v>5206</v>
      </c>
      <c r="I200" t="s">
        <v>5207</v>
      </c>
      <c r="K200" t="s">
        <v>4079</v>
      </c>
      <c r="L200" t="s">
        <v>1278</v>
      </c>
      <c r="M200" t="s">
        <v>1279</v>
      </c>
      <c r="N200" t="s">
        <v>1280</v>
      </c>
      <c r="O200" t="s">
        <v>5208</v>
      </c>
      <c r="P200" t="s">
        <v>5209</v>
      </c>
      <c r="R200" t="s">
        <v>5210</v>
      </c>
      <c r="T200" t="s">
        <v>5211</v>
      </c>
      <c r="V200" t="s">
        <v>5212</v>
      </c>
      <c r="X200" t="s">
        <v>5213</v>
      </c>
      <c r="Z200" t="s">
        <v>5214</v>
      </c>
      <c r="AB200" t="s">
        <v>5215</v>
      </c>
      <c r="AD200" t="s">
        <v>5216</v>
      </c>
      <c r="AF200" t="s">
        <v>5217</v>
      </c>
      <c r="AH200" t="s">
        <v>5218</v>
      </c>
      <c r="AJ200" t="s">
        <v>830</v>
      </c>
      <c r="AL200" t="s">
        <v>5219</v>
      </c>
      <c r="AN200" t="s">
        <v>5220</v>
      </c>
      <c r="AP200" t="s">
        <v>5221</v>
      </c>
      <c r="AQ200" t="s">
        <v>5222</v>
      </c>
    </row>
    <row r="201" spans="1:58">
      <c r="A201" t="s">
        <v>311</v>
      </c>
      <c r="B201" t="s">
        <v>5223</v>
      </c>
      <c r="I201" t="s">
        <v>5224</v>
      </c>
      <c r="K201" t="s">
        <v>5225</v>
      </c>
      <c r="L201" t="s">
        <v>1278</v>
      </c>
      <c r="M201" t="s">
        <v>1279</v>
      </c>
      <c r="N201" t="s">
        <v>1280</v>
      </c>
      <c r="O201" t="s">
        <v>5226</v>
      </c>
      <c r="P201" t="s">
        <v>5227</v>
      </c>
      <c r="R201" t="s">
        <v>5228</v>
      </c>
      <c r="T201" t="s">
        <v>5229</v>
      </c>
      <c r="V201" t="s">
        <v>5230</v>
      </c>
      <c r="X201" t="s">
        <v>5231</v>
      </c>
      <c r="Z201" t="s">
        <v>5232</v>
      </c>
      <c r="AB201" t="s">
        <v>5233</v>
      </c>
      <c r="AD201" t="s">
        <v>5234</v>
      </c>
      <c r="AF201" t="s">
        <v>5235</v>
      </c>
      <c r="AH201" t="s">
        <v>5236</v>
      </c>
      <c r="AJ201" t="s">
        <v>830</v>
      </c>
      <c r="AL201" t="s">
        <v>5237</v>
      </c>
      <c r="AN201" t="s">
        <v>5238</v>
      </c>
      <c r="AP201" t="s">
        <v>5239</v>
      </c>
      <c r="AQ201" t="s">
        <v>5240</v>
      </c>
    </row>
    <row r="202" spans="1:58">
      <c r="A202" t="s">
        <v>311</v>
      </c>
      <c r="B202" t="s">
        <v>5241</v>
      </c>
      <c r="I202" t="s">
        <v>5242</v>
      </c>
      <c r="K202" t="s">
        <v>5243</v>
      </c>
      <c r="L202" t="s">
        <v>1278</v>
      </c>
      <c r="M202" t="s">
        <v>1279</v>
      </c>
      <c r="N202" t="s">
        <v>1280</v>
      </c>
      <c r="O202" t="s">
        <v>5244</v>
      </c>
      <c r="P202" t="s">
        <v>5245</v>
      </c>
      <c r="R202" t="s">
        <v>5246</v>
      </c>
      <c r="T202" t="s">
        <v>5247</v>
      </c>
      <c r="V202" t="s">
        <v>5248</v>
      </c>
      <c r="X202" t="s">
        <v>5249</v>
      </c>
      <c r="Z202" t="s">
        <v>5250</v>
      </c>
      <c r="AB202" t="s">
        <v>5251</v>
      </c>
      <c r="AD202" t="s">
        <v>5252</v>
      </c>
      <c r="AF202" t="s">
        <v>5253</v>
      </c>
      <c r="AH202" t="s">
        <v>5254</v>
      </c>
      <c r="AJ202" t="s">
        <v>830</v>
      </c>
      <c r="AL202" t="s">
        <v>5255</v>
      </c>
      <c r="AN202" t="s">
        <v>5256</v>
      </c>
      <c r="AP202" t="s">
        <v>5257</v>
      </c>
      <c r="AQ202" t="s">
        <v>5258</v>
      </c>
    </row>
    <row r="203" spans="1:58">
      <c r="A203" t="s">
        <v>311</v>
      </c>
      <c r="B203" t="s">
        <v>5259</v>
      </c>
      <c r="I203" t="s">
        <v>5260</v>
      </c>
      <c r="K203" t="s">
        <v>3784</v>
      </c>
      <c r="L203" t="s">
        <v>1278</v>
      </c>
      <c r="M203" t="s">
        <v>1279</v>
      </c>
      <c r="N203" t="s">
        <v>1280</v>
      </c>
      <c r="O203" t="s">
        <v>5261</v>
      </c>
      <c r="P203" t="s">
        <v>5262</v>
      </c>
      <c r="R203" t="s">
        <v>5263</v>
      </c>
      <c r="T203" t="s">
        <v>5264</v>
      </c>
      <c r="V203" t="s">
        <v>5265</v>
      </c>
      <c r="X203" t="s">
        <v>5266</v>
      </c>
      <c r="Z203" t="s">
        <v>5267</v>
      </c>
      <c r="AB203" t="s">
        <v>5268</v>
      </c>
      <c r="AD203" t="s">
        <v>5269</v>
      </c>
      <c r="AF203" t="s">
        <v>5270</v>
      </c>
      <c r="AH203" t="s">
        <v>5271</v>
      </c>
      <c r="AJ203" t="s">
        <v>830</v>
      </c>
      <c r="AL203" t="s">
        <v>5272</v>
      </c>
      <c r="AN203" t="s">
        <v>5273</v>
      </c>
      <c r="AP203" t="s">
        <v>5274</v>
      </c>
      <c r="AQ203" t="s">
        <v>5275</v>
      </c>
    </row>
    <row r="204" spans="1:58">
      <c r="A204" t="s">
        <v>76</v>
      </c>
      <c r="B204" t="s">
        <v>31</v>
      </c>
      <c r="I204" t="s">
        <v>4695</v>
      </c>
    </row>
    <row r="205" spans="1:58">
      <c r="A205" t="s">
        <v>76</v>
      </c>
      <c r="B205" t="s">
        <v>4673</v>
      </c>
      <c r="I205" t="s">
        <v>5276</v>
      </c>
      <c r="R205" t="s">
        <v>5277</v>
      </c>
      <c r="T205" t="s">
        <v>5278</v>
      </c>
      <c r="V205" t="s">
        <v>5279</v>
      </c>
      <c r="X205" t="s">
        <v>5280</v>
      </c>
      <c r="Z205" t="s">
        <v>5281</v>
      </c>
      <c r="AB205" t="s">
        <v>5282</v>
      </c>
      <c r="AD205" t="s">
        <v>5283</v>
      </c>
      <c r="AF205" t="s">
        <v>5284</v>
      </c>
      <c r="AH205" t="s">
        <v>5285</v>
      </c>
      <c r="AJ205" t="s">
        <v>5286</v>
      </c>
      <c r="AL205" t="s">
        <v>5287</v>
      </c>
      <c r="AN205" t="s">
        <v>5288</v>
      </c>
      <c r="AP205" t="s">
        <v>5289</v>
      </c>
      <c r="AQ205" t="s">
        <v>5290</v>
      </c>
      <c r="AU205" t="s">
        <v>5291</v>
      </c>
      <c r="AV205" t="s">
        <v>5292</v>
      </c>
      <c r="AW205" t="s">
        <v>5293</v>
      </c>
      <c r="AX205" t="s">
        <v>5294</v>
      </c>
      <c r="AY205" t="s">
        <v>5295</v>
      </c>
      <c r="AZ205" t="s">
        <v>5296</v>
      </c>
      <c r="BA205" t="s">
        <v>5297</v>
      </c>
      <c r="BB205" t="s">
        <v>5298</v>
      </c>
      <c r="BC205" t="s">
        <v>5299</v>
      </c>
      <c r="BD205" t="s">
        <v>5300</v>
      </c>
      <c r="BE205" t="s">
        <v>5301</v>
      </c>
      <c r="BF205" t="s">
        <v>5302</v>
      </c>
    </row>
    <row r="206" spans="1:58">
      <c r="A206" t="s">
        <v>76</v>
      </c>
      <c r="B206" t="s">
        <v>5303</v>
      </c>
      <c r="I206" t="s">
        <v>5304</v>
      </c>
    </row>
    <row r="207" spans="1:58">
      <c r="A207" t="s">
        <v>76</v>
      </c>
      <c r="B207" t="s">
        <v>31</v>
      </c>
      <c r="H207" t="s">
        <v>365</v>
      </c>
      <c r="I207" t="s">
        <v>5305</v>
      </c>
    </row>
    <row r="208" spans="1:58">
      <c r="A208" t="s">
        <v>76</v>
      </c>
      <c r="B208" t="s">
        <v>5306</v>
      </c>
      <c r="I208" t="s">
        <v>5307</v>
      </c>
      <c r="R208" t="s">
        <v>5308</v>
      </c>
      <c r="AU208" t="s">
        <v>301</v>
      </c>
      <c r="AV208" t="s">
        <v>1319</v>
      </c>
      <c r="AW208" t="s">
        <v>1320</v>
      </c>
      <c r="AX208" t="s">
        <v>1321</v>
      </c>
      <c r="AY208" t="s">
        <v>1322</v>
      </c>
      <c r="AZ208" t="s">
        <v>327</v>
      </c>
      <c r="BA208" t="s">
        <v>328</v>
      </c>
      <c r="BB208" t="s">
        <v>329</v>
      </c>
      <c r="BC208" t="s">
        <v>330</v>
      </c>
      <c r="BD208" t="s">
        <v>289</v>
      </c>
      <c r="BE208" t="s">
        <v>331</v>
      </c>
      <c r="BF208" t="s">
        <v>332</v>
      </c>
    </row>
    <row r="209" spans="1:58">
      <c r="A209" t="s">
        <v>311</v>
      </c>
      <c r="B209" t="s">
        <v>5309</v>
      </c>
      <c r="I209" t="s">
        <v>5310</v>
      </c>
      <c r="K209" t="s">
        <v>5311</v>
      </c>
      <c r="L209" t="s">
        <v>1278</v>
      </c>
      <c r="M209" t="s">
        <v>1279</v>
      </c>
      <c r="N209" t="s">
        <v>1280</v>
      </c>
      <c r="O209" t="s">
        <v>5312</v>
      </c>
      <c r="P209" t="s">
        <v>5313</v>
      </c>
      <c r="R209" t="s">
        <v>5314</v>
      </c>
      <c r="T209" t="s">
        <v>5315</v>
      </c>
      <c r="V209" t="s">
        <v>5316</v>
      </c>
      <c r="X209" t="s">
        <v>5317</v>
      </c>
      <c r="Z209" t="s">
        <v>5318</v>
      </c>
      <c r="AB209" t="s">
        <v>5319</v>
      </c>
      <c r="AD209" t="s">
        <v>5320</v>
      </c>
      <c r="AF209" t="s">
        <v>5321</v>
      </c>
      <c r="AH209" t="s">
        <v>5322</v>
      </c>
      <c r="AJ209" t="s">
        <v>830</v>
      </c>
      <c r="AL209" t="s">
        <v>5323</v>
      </c>
      <c r="AN209" t="s">
        <v>5324</v>
      </c>
      <c r="AP209" t="s">
        <v>5325</v>
      </c>
      <c r="AQ209" t="s">
        <v>5326</v>
      </c>
    </row>
    <row r="210" spans="1:58">
      <c r="A210" t="s">
        <v>76</v>
      </c>
      <c r="B210" t="s">
        <v>31</v>
      </c>
      <c r="I210" t="s">
        <v>5327</v>
      </c>
    </row>
    <row r="211" spans="1:58">
      <c r="A211" t="s">
        <v>76</v>
      </c>
      <c r="B211" t="s">
        <v>5306</v>
      </c>
      <c r="I211" t="s">
        <v>5328</v>
      </c>
      <c r="R211" t="s">
        <v>5329</v>
      </c>
      <c r="T211" t="s">
        <v>5330</v>
      </c>
      <c r="V211" t="s">
        <v>5331</v>
      </c>
      <c r="X211" t="s">
        <v>5332</v>
      </c>
      <c r="Z211" t="s">
        <v>5333</v>
      </c>
      <c r="AB211" t="s">
        <v>5334</v>
      </c>
      <c r="AD211" t="s">
        <v>5335</v>
      </c>
      <c r="AF211" t="s">
        <v>5336</v>
      </c>
      <c r="AH211" t="s">
        <v>5337</v>
      </c>
      <c r="AJ211" t="s">
        <v>5338</v>
      </c>
      <c r="AL211" t="s">
        <v>5339</v>
      </c>
      <c r="AN211" t="s">
        <v>5340</v>
      </c>
      <c r="AP211" t="s">
        <v>5341</v>
      </c>
      <c r="AQ211" t="s">
        <v>5342</v>
      </c>
      <c r="AU211" t="s">
        <v>5343</v>
      </c>
      <c r="AV211" t="s">
        <v>5344</v>
      </c>
      <c r="AW211" t="s">
        <v>5345</v>
      </c>
      <c r="AX211" t="s">
        <v>5346</v>
      </c>
      <c r="AY211" t="s">
        <v>5347</v>
      </c>
      <c r="AZ211" t="s">
        <v>5348</v>
      </c>
      <c r="BA211" t="s">
        <v>5349</v>
      </c>
      <c r="BB211" t="s">
        <v>5350</v>
      </c>
      <c r="BC211" t="s">
        <v>5351</v>
      </c>
      <c r="BD211" t="s">
        <v>5352</v>
      </c>
      <c r="BE211" t="s">
        <v>5353</v>
      </c>
      <c r="BF211" t="s">
        <v>5354</v>
      </c>
    </row>
    <row r="212" spans="1:58">
      <c r="A212" t="s">
        <v>76</v>
      </c>
      <c r="B212" t="s">
        <v>5355</v>
      </c>
      <c r="I212" t="s">
        <v>5356</v>
      </c>
    </row>
    <row r="213" spans="1:58">
      <c r="A213" t="s">
        <v>76</v>
      </c>
      <c r="B213" t="s">
        <v>31</v>
      </c>
      <c r="H213" t="s">
        <v>365</v>
      </c>
      <c r="I213" t="s">
        <v>5357</v>
      </c>
    </row>
    <row r="214" spans="1:58">
      <c r="A214" t="s">
        <v>76</v>
      </c>
      <c r="B214" t="s">
        <v>5358</v>
      </c>
      <c r="I214" t="s">
        <v>5359</v>
      </c>
      <c r="R214" t="s">
        <v>5360</v>
      </c>
      <c r="AU214" t="s">
        <v>301</v>
      </c>
      <c r="AV214" t="s">
        <v>1319</v>
      </c>
      <c r="AW214" t="s">
        <v>1320</v>
      </c>
      <c r="AX214" t="s">
        <v>1321</v>
      </c>
      <c r="AY214" t="s">
        <v>1322</v>
      </c>
      <c r="AZ214" t="s">
        <v>327</v>
      </c>
      <c r="BA214" t="s">
        <v>328</v>
      </c>
      <c r="BB214" t="s">
        <v>329</v>
      </c>
      <c r="BC214" t="s">
        <v>330</v>
      </c>
      <c r="BD214" t="s">
        <v>289</v>
      </c>
      <c r="BE214" t="s">
        <v>331</v>
      </c>
      <c r="BF214" t="s">
        <v>332</v>
      </c>
    </row>
    <row r="215" spans="1:58">
      <c r="A215" t="s">
        <v>311</v>
      </c>
      <c r="B215" t="s">
        <v>5361</v>
      </c>
      <c r="I215" t="s">
        <v>5362</v>
      </c>
      <c r="K215" t="s">
        <v>5363</v>
      </c>
      <c r="L215" t="s">
        <v>1278</v>
      </c>
      <c r="M215" t="s">
        <v>1279</v>
      </c>
      <c r="N215" t="s">
        <v>1280</v>
      </c>
      <c r="O215" t="s">
        <v>5364</v>
      </c>
      <c r="P215" t="s">
        <v>5365</v>
      </c>
      <c r="R215" t="s">
        <v>5366</v>
      </c>
      <c r="T215" t="s">
        <v>5367</v>
      </c>
      <c r="V215" t="s">
        <v>5368</v>
      </c>
      <c r="X215" t="s">
        <v>5369</v>
      </c>
      <c r="Z215" t="s">
        <v>5370</v>
      </c>
      <c r="AB215" t="s">
        <v>5371</v>
      </c>
      <c r="AD215" t="s">
        <v>5372</v>
      </c>
      <c r="AF215" t="s">
        <v>5373</v>
      </c>
      <c r="AH215" t="s">
        <v>5374</v>
      </c>
      <c r="AJ215" t="s">
        <v>830</v>
      </c>
      <c r="AL215" t="s">
        <v>5375</v>
      </c>
      <c r="AN215" t="s">
        <v>5376</v>
      </c>
      <c r="AP215" t="s">
        <v>5377</v>
      </c>
      <c r="AQ215" t="s">
        <v>5378</v>
      </c>
    </row>
    <row r="216" spans="1:58">
      <c r="A216" t="s">
        <v>76</v>
      </c>
      <c r="B216" t="s">
        <v>31</v>
      </c>
      <c r="I216" t="s">
        <v>5379</v>
      </c>
    </row>
    <row r="217" spans="1:58">
      <c r="A217" t="s">
        <v>76</v>
      </c>
      <c r="B217" t="s">
        <v>5358</v>
      </c>
      <c r="I217" t="s">
        <v>5380</v>
      </c>
      <c r="R217" t="s">
        <v>5381</v>
      </c>
      <c r="T217" t="s">
        <v>5382</v>
      </c>
      <c r="V217" t="s">
        <v>5383</v>
      </c>
      <c r="X217" t="s">
        <v>5384</v>
      </c>
      <c r="Z217" t="s">
        <v>5385</v>
      </c>
      <c r="AB217" t="s">
        <v>5386</v>
      </c>
      <c r="AD217" t="s">
        <v>5387</v>
      </c>
      <c r="AF217" t="s">
        <v>5388</v>
      </c>
      <c r="AH217" t="s">
        <v>5389</v>
      </c>
      <c r="AJ217" t="s">
        <v>5390</v>
      </c>
      <c r="AL217" t="s">
        <v>5391</v>
      </c>
      <c r="AN217" t="s">
        <v>5392</v>
      </c>
      <c r="AP217" t="s">
        <v>5393</v>
      </c>
      <c r="AQ217" t="s">
        <v>5394</v>
      </c>
      <c r="AU217" t="s">
        <v>5395</v>
      </c>
      <c r="AV217" t="s">
        <v>5396</v>
      </c>
      <c r="AW217" t="s">
        <v>5397</v>
      </c>
      <c r="AX217" t="s">
        <v>5398</v>
      </c>
      <c r="AY217" t="s">
        <v>5399</v>
      </c>
      <c r="AZ217" t="s">
        <v>5400</v>
      </c>
      <c r="BA217" t="s">
        <v>5401</v>
      </c>
      <c r="BB217" t="s">
        <v>5402</v>
      </c>
      <c r="BC217" t="s">
        <v>5403</v>
      </c>
      <c r="BD217" t="s">
        <v>5404</v>
      </c>
      <c r="BE217" t="s">
        <v>5405</v>
      </c>
      <c r="BF217" t="s">
        <v>5406</v>
      </c>
    </row>
    <row r="218" spans="1:58">
      <c r="A218" t="s">
        <v>76</v>
      </c>
      <c r="B218" t="s">
        <v>5407</v>
      </c>
      <c r="I218" t="s">
        <v>5408</v>
      </c>
    </row>
    <row r="219" spans="1:58">
      <c r="A219" t="s">
        <v>76</v>
      </c>
      <c r="B219" t="s">
        <v>31</v>
      </c>
      <c r="H219" t="s">
        <v>365</v>
      </c>
      <c r="I219" t="s">
        <v>5409</v>
      </c>
    </row>
    <row r="220" spans="1:58">
      <c r="A220" t="s">
        <v>76</v>
      </c>
      <c r="B220" t="s">
        <v>5410</v>
      </c>
      <c r="I220" t="s">
        <v>5411</v>
      </c>
      <c r="R220" t="s">
        <v>5412</v>
      </c>
      <c r="AU220" t="s">
        <v>301</v>
      </c>
      <c r="AV220" t="s">
        <v>1319</v>
      </c>
      <c r="AW220" t="s">
        <v>1320</v>
      </c>
      <c r="AX220" t="s">
        <v>1321</v>
      </c>
      <c r="AY220" t="s">
        <v>1322</v>
      </c>
      <c r="AZ220" t="s">
        <v>327</v>
      </c>
      <c r="BA220" t="s">
        <v>328</v>
      </c>
      <c r="BB220" t="s">
        <v>329</v>
      </c>
      <c r="BC220" t="s">
        <v>330</v>
      </c>
      <c r="BD220" t="s">
        <v>289</v>
      </c>
      <c r="BE220" t="s">
        <v>331</v>
      </c>
      <c r="BF220" t="s">
        <v>332</v>
      </c>
    </row>
    <row r="221" spans="1:58">
      <c r="A221" t="s">
        <v>311</v>
      </c>
      <c r="B221" t="s">
        <v>5413</v>
      </c>
      <c r="I221" t="s">
        <v>5414</v>
      </c>
      <c r="K221" t="s">
        <v>5415</v>
      </c>
      <c r="L221" t="s">
        <v>1278</v>
      </c>
      <c r="M221" t="s">
        <v>1279</v>
      </c>
      <c r="N221" t="s">
        <v>1280</v>
      </c>
      <c r="O221" t="s">
        <v>5416</v>
      </c>
      <c r="P221" t="s">
        <v>5417</v>
      </c>
      <c r="R221" t="s">
        <v>5418</v>
      </c>
      <c r="T221" t="s">
        <v>5419</v>
      </c>
      <c r="V221" t="s">
        <v>5420</v>
      </c>
      <c r="X221" t="s">
        <v>5421</v>
      </c>
      <c r="Z221" t="s">
        <v>5422</v>
      </c>
      <c r="AB221" t="s">
        <v>5423</v>
      </c>
      <c r="AD221" t="s">
        <v>5424</v>
      </c>
      <c r="AF221" t="s">
        <v>5425</v>
      </c>
      <c r="AH221" t="s">
        <v>5426</v>
      </c>
      <c r="AJ221" t="s">
        <v>830</v>
      </c>
      <c r="AL221" t="s">
        <v>5427</v>
      </c>
      <c r="AN221" t="s">
        <v>5428</v>
      </c>
      <c r="AP221" t="s">
        <v>5429</v>
      </c>
      <c r="AQ221" t="s">
        <v>5430</v>
      </c>
    </row>
    <row r="222" spans="1:58">
      <c r="A222" t="s">
        <v>76</v>
      </c>
      <c r="B222" t="s">
        <v>31</v>
      </c>
      <c r="I222" t="s">
        <v>5431</v>
      </c>
    </row>
    <row r="223" spans="1:58">
      <c r="A223" t="s">
        <v>76</v>
      </c>
      <c r="B223" t="s">
        <v>5410</v>
      </c>
      <c r="I223" t="s">
        <v>5432</v>
      </c>
      <c r="R223" t="s">
        <v>5433</v>
      </c>
      <c r="T223" t="s">
        <v>5434</v>
      </c>
      <c r="V223" t="s">
        <v>5435</v>
      </c>
      <c r="X223" t="s">
        <v>5436</v>
      </c>
      <c r="Z223" t="s">
        <v>5437</v>
      </c>
      <c r="AB223" t="s">
        <v>5438</v>
      </c>
      <c r="AD223" t="s">
        <v>5439</v>
      </c>
      <c r="AF223" t="s">
        <v>5440</v>
      </c>
      <c r="AH223" t="s">
        <v>5441</v>
      </c>
      <c r="AJ223" t="s">
        <v>5442</v>
      </c>
      <c r="AL223" t="s">
        <v>5443</v>
      </c>
      <c r="AN223" t="s">
        <v>5444</v>
      </c>
      <c r="AP223" t="s">
        <v>5445</v>
      </c>
      <c r="AQ223" t="s">
        <v>5446</v>
      </c>
      <c r="AU223" t="s">
        <v>5447</v>
      </c>
      <c r="AV223" t="s">
        <v>5448</v>
      </c>
      <c r="AW223" t="s">
        <v>5449</v>
      </c>
      <c r="AX223" t="s">
        <v>5450</v>
      </c>
      <c r="AY223" t="s">
        <v>5451</v>
      </c>
      <c r="AZ223" t="s">
        <v>5452</v>
      </c>
      <c r="BA223" t="s">
        <v>5453</v>
      </c>
      <c r="BB223" t="s">
        <v>5454</v>
      </c>
      <c r="BC223" t="s">
        <v>5455</v>
      </c>
      <c r="BD223" t="s">
        <v>5456</v>
      </c>
      <c r="BE223" t="s">
        <v>5457</v>
      </c>
      <c r="BF223" t="s">
        <v>5458</v>
      </c>
    </row>
    <row r="224" spans="1:58">
      <c r="A224" t="s">
        <v>76</v>
      </c>
      <c r="B224" t="s">
        <v>5459</v>
      </c>
      <c r="I224" t="s">
        <v>5460</v>
      </c>
    </row>
    <row r="225" spans="1:43">
      <c r="B225" t="s">
        <v>31</v>
      </c>
    </row>
    <row r="226" spans="1:43">
      <c r="B226" t="s">
        <v>31</v>
      </c>
      <c r="R226" t="s">
        <v>437</v>
      </c>
      <c r="T226" t="s">
        <v>5461</v>
      </c>
      <c r="V226" t="s">
        <v>5462</v>
      </c>
      <c r="X226" t="s">
        <v>5463</v>
      </c>
      <c r="Z226" t="s">
        <v>5464</v>
      </c>
      <c r="AB226" t="s">
        <v>5465</v>
      </c>
      <c r="AD226" t="s">
        <v>5466</v>
      </c>
      <c r="AF226" t="s">
        <v>5467</v>
      </c>
      <c r="AH226" t="s">
        <v>5468</v>
      </c>
      <c r="AJ226" t="s">
        <v>5469</v>
      </c>
      <c r="AL226" t="s">
        <v>5470</v>
      </c>
      <c r="AN226" t="s">
        <v>5471</v>
      </c>
      <c r="AP226" t="s">
        <v>5472</v>
      </c>
    </row>
    <row r="227" spans="1:43">
      <c r="B227" t="s">
        <v>31</v>
      </c>
      <c r="E227" t="s">
        <v>438</v>
      </c>
      <c r="AH227" t="s">
        <v>5473</v>
      </c>
    </row>
    <row r="228" spans="1:43">
      <c r="B228" t="s">
        <v>5474</v>
      </c>
      <c r="R228" t="s">
        <v>439</v>
      </c>
    </row>
    <row r="229" spans="1:43">
      <c r="A229" t="s">
        <v>236</v>
      </c>
      <c r="B229" t="s">
        <v>5475</v>
      </c>
      <c r="K229" t="s">
        <v>5476</v>
      </c>
      <c r="L229" t="s">
        <v>1278</v>
      </c>
      <c r="M229" t="s">
        <v>1279</v>
      </c>
      <c r="N229" t="s">
        <v>1280</v>
      </c>
      <c r="O229" t="s">
        <v>5477</v>
      </c>
      <c r="P229" t="s">
        <v>5478</v>
      </c>
      <c r="R229" t="s">
        <v>5479</v>
      </c>
      <c r="T229" t="s">
        <v>5480</v>
      </c>
      <c r="V229" t="s">
        <v>5481</v>
      </c>
      <c r="X229" t="s">
        <v>5482</v>
      </c>
      <c r="Z229" t="s">
        <v>5483</v>
      </c>
      <c r="AB229" t="s">
        <v>5484</v>
      </c>
      <c r="AD229" t="s">
        <v>5485</v>
      </c>
      <c r="AF229" t="s">
        <v>5486</v>
      </c>
      <c r="AH229" t="s">
        <v>5487</v>
      </c>
      <c r="AJ229" t="s">
        <v>830</v>
      </c>
      <c r="AL229" t="s">
        <v>5488</v>
      </c>
      <c r="AN229" t="s">
        <v>5489</v>
      </c>
      <c r="AP229" t="s">
        <v>5490</v>
      </c>
      <c r="AQ229" t="s">
        <v>5491</v>
      </c>
    </row>
    <row r="230" spans="1:43">
      <c r="B230" t="s">
        <v>31</v>
      </c>
    </row>
    <row r="231" spans="1:43">
      <c r="B231" t="s">
        <v>5474</v>
      </c>
      <c r="R231" t="s">
        <v>440</v>
      </c>
      <c r="T231" t="s">
        <v>5492</v>
      </c>
      <c r="V231" t="s">
        <v>5493</v>
      </c>
      <c r="X231" t="s">
        <v>5494</v>
      </c>
      <c r="Z231" t="s">
        <v>5495</v>
      </c>
      <c r="AB231" t="s">
        <v>5496</v>
      </c>
      <c r="AD231" t="s">
        <v>5497</v>
      </c>
      <c r="AF231" t="s">
        <v>5498</v>
      </c>
      <c r="AH231" t="s">
        <v>5499</v>
      </c>
      <c r="AJ231" t="s">
        <v>5500</v>
      </c>
      <c r="AL231" t="s">
        <v>5501</v>
      </c>
      <c r="AN231" t="s">
        <v>5502</v>
      </c>
      <c r="AP231" t="s">
        <v>5503</v>
      </c>
      <c r="AQ231" t="s">
        <v>5504</v>
      </c>
    </row>
    <row r="232" spans="1:43">
      <c r="B232" t="s">
        <v>5505</v>
      </c>
      <c r="E232" t="s">
        <v>1556</v>
      </c>
      <c r="H232" t="s">
        <v>441</v>
      </c>
    </row>
    <row r="233" spans="1:43">
      <c r="B233" t="s">
        <v>5506</v>
      </c>
      <c r="R233" t="s">
        <v>166</v>
      </c>
    </row>
    <row r="234" spans="1:43">
      <c r="A234" t="s">
        <v>236</v>
      </c>
      <c r="B234" t="s">
        <v>5507</v>
      </c>
      <c r="K234" t="s">
        <v>5508</v>
      </c>
      <c r="L234" t="s">
        <v>1278</v>
      </c>
      <c r="M234" t="s">
        <v>1279</v>
      </c>
      <c r="N234" t="s">
        <v>1280</v>
      </c>
      <c r="O234" t="s">
        <v>5509</v>
      </c>
      <c r="P234" t="s">
        <v>5510</v>
      </c>
      <c r="R234" t="s">
        <v>5511</v>
      </c>
      <c r="T234" t="s">
        <v>5512</v>
      </c>
      <c r="V234" t="s">
        <v>5513</v>
      </c>
      <c r="X234" t="s">
        <v>5514</v>
      </c>
      <c r="Z234" t="s">
        <v>5515</v>
      </c>
      <c r="AB234" t="s">
        <v>5516</v>
      </c>
      <c r="AD234" t="s">
        <v>5517</v>
      </c>
      <c r="AF234" t="s">
        <v>5518</v>
      </c>
      <c r="AH234" t="s">
        <v>5519</v>
      </c>
      <c r="AJ234" t="s">
        <v>830</v>
      </c>
      <c r="AL234" t="s">
        <v>5520</v>
      </c>
      <c r="AN234" t="s">
        <v>5521</v>
      </c>
      <c r="AP234" t="s">
        <v>5522</v>
      </c>
      <c r="AQ234" t="s">
        <v>5523</v>
      </c>
    </row>
    <row r="235" spans="1:43">
      <c r="B235" t="s">
        <v>31</v>
      </c>
    </row>
    <row r="236" spans="1:43">
      <c r="B236" t="s">
        <v>5506</v>
      </c>
      <c r="R236" t="s">
        <v>444</v>
      </c>
      <c r="T236" t="s">
        <v>5524</v>
      </c>
      <c r="V236" t="s">
        <v>5525</v>
      </c>
      <c r="X236" t="s">
        <v>5526</v>
      </c>
      <c r="Z236" t="s">
        <v>5527</v>
      </c>
      <c r="AB236" t="s">
        <v>5528</v>
      </c>
      <c r="AD236" t="s">
        <v>5529</v>
      </c>
      <c r="AF236" t="s">
        <v>5530</v>
      </c>
      <c r="AH236" t="s">
        <v>5531</v>
      </c>
      <c r="AJ236" t="s">
        <v>5532</v>
      </c>
      <c r="AL236" t="s">
        <v>5533</v>
      </c>
      <c r="AN236" t="s">
        <v>5534</v>
      </c>
      <c r="AP236" t="s">
        <v>5535</v>
      </c>
      <c r="AQ236" t="s">
        <v>5536</v>
      </c>
    </row>
    <row r="237" spans="1:43">
      <c r="B237" t="s">
        <v>5537</v>
      </c>
    </row>
    <row r="238" spans="1:43">
      <c r="B238" t="s">
        <v>5538</v>
      </c>
      <c r="R238" t="s">
        <v>1590</v>
      </c>
      <c r="T238" t="s">
        <v>5539</v>
      </c>
      <c r="V238" t="s">
        <v>5540</v>
      </c>
      <c r="X238" t="s">
        <v>5541</v>
      </c>
      <c r="Z238" t="s">
        <v>5542</v>
      </c>
      <c r="AB238" t="s">
        <v>5543</v>
      </c>
      <c r="AD238" t="s">
        <v>5544</v>
      </c>
      <c r="AF238" t="s">
        <v>5545</v>
      </c>
      <c r="AH238" t="s">
        <v>5546</v>
      </c>
      <c r="AJ238" t="s">
        <v>5547</v>
      </c>
      <c r="AL238" t="s">
        <v>5548</v>
      </c>
      <c r="AN238" t="s">
        <v>5549</v>
      </c>
      <c r="AP238" t="s">
        <v>5550</v>
      </c>
      <c r="AQ238" t="s">
        <v>5551</v>
      </c>
    </row>
    <row r="239" spans="1:43">
      <c r="B239" t="s">
        <v>5552</v>
      </c>
      <c r="E239" t="s">
        <v>1556</v>
      </c>
      <c r="H239" t="s">
        <v>1605</v>
      </c>
    </row>
    <row r="240" spans="1:43">
      <c r="B240" t="s">
        <v>5553</v>
      </c>
      <c r="R240" t="s">
        <v>445</v>
      </c>
    </row>
    <row r="241" spans="1:43">
      <c r="A241" t="s">
        <v>236</v>
      </c>
      <c r="B241" t="s">
        <v>5554</v>
      </c>
      <c r="K241" t="s">
        <v>5555</v>
      </c>
      <c r="L241" t="s">
        <v>1278</v>
      </c>
      <c r="M241" t="s">
        <v>1279</v>
      </c>
      <c r="N241" t="s">
        <v>1280</v>
      </c>
      <c r="O241" t="s">
        <v>5556</v>
      </c>
      <c r="P241" t="s">
        <v>5557</v>
      </c>
      <c r="R241" t="s">
        <v>5558</v>
      </c>
      <c r="T241" t="s">
        <v>5559</v>
      </c>
      <c r="V241" t="s">
        <v>5560</v>
      </c>
      <c r="X241" t="s">
        <v>5561</v>
      </c>
      <c r="Z241" t="s">
        <v>5562</v>
      </c>
      <c r="AB241" t="s">
        <v>5563</v>
      </c>
      <c r="AD241" t="s">
        <v>5564</v>
      </c>
      <c r="AF241" t="s">
        <v>5565</v>
      </c>
      <c r="AH241" t="s">
        <v>5566</v>
      </c>
      <c r="AJ241" t="s">
        <v>830</v>
      </c>
      <c r="AL241" t="s">
        <v>5567</v>
      </c>
      <c r="AN241" t="s">
        <v>5568</v>
      </c>
      <c r="AP241" t="s">
        <v>5569</v>
      </c>
      <c r="AQ241" t="s">
        <v>5570</v>
      </c>
    </row>
    <row r="242" spans="1:43">
      <c r="B242" t="s">
        <v>31</v>
      </c>
    </row>
    <row r="243" spans="1:43">
      <c r="B243" t="s">
        <v>5553</v>
      </c>
      <c r="R243" t="s">
        <v>448</v>
      </c>
      <c r="T243" t="s">
        <v>5571</v>
      </c>
      <c r="V243" t="s">
        <v>5572</v>
      </c>
      <c r="X243" t="s">
        <v>5573</v>
      </c>
      <c r="Z243" t="s">
        <v>5574</v>
      </c>
      <c r="AB243" t="s">
        <v>5575</v>
      </c>
      <c r="AD243" t="s">
        <v>5576</v>
      </c>
      <c r="AF243" t="s">
        <v>5577</v>
      </c>
      <c r="AH243" t="s">
        <v>5578</v>
      </c>
      <c r="AJ243" t="s">
        <v>5579</v>
      </c>
      <c r="AL243" t="s">
        <v>5580</v>
      </c>
      <c r="AN243" t="s">
        <v>5581</v>
      </c>
      <c r="AP243" t="s">
        <v>5582</v>
      </c>
      <c r="AQ243" t="s">
        <v>5583</v>
      </c>
    </row>
    <row r="244" spans="1:43">
      <c r="B244" t="s">
        <v>5584</v>
      </c>
    </row>
    <row r="245" spans="1:43">
      <c r="B245" t="s">
        <v>62</v>
      </c>
      <c r="N245" t="s">
        <v>5585</v>
      </c>
      <c r="R245" t="s">
        <v>5586</v>
      </c>
      <c r="T245" t="s">
        <v>5587</v>
      </c>
      <c r="V245" t="s">
        <v>5588</v>
      </c>
      <c r="X245" t="s">
        <v>5589</v>
      </c>
      <c r="Z245" t="s">
        <v>5590</v>
      </c>
      <c r="AB245" t="s">
        <v>5591</v>
      </c>
      <c r="AD245" t="s">
        <v>5592</v>
      </c>
      <c r="AF245" t="s">
        <v>5593</v>
      </c>
      <c r="AH245" t="s">
        <v>5594</v>
      </c>
      <c r="AJ245" t="s">
        <v>5595</v>
      </c>
      <c r="AL245" t="s">
        <v>5596</v>
      </c>
      <c r="AN245" t="s">
        <v>5597</v>
      </c>
      <c r="AP245" t="s">
        <v>5598</v>
      </c>
      <c r="AQ245" t="s">
        <v>5599</v>
      </c>
    </row>
    <row r="246" spans="1:43">
      <c r="B246" t="s">
        <v>62</v>
      </c>
    </row>
    <row r="247" spans="1:43">
      <c r="B247" t="s">
        <v>5600</v>
      </c>
      <c r="R247" t="s">
        <v>1654</v>
      </c>
    </row>
    <row r="248" spans="1:43">
      <c r="B248" t="s">
        <v>62</v>
      </c>
      <c r="R248" t="s">
        <v>1655</v>
      </c>
      <c r="T248" t="s">
        <v>5601</v>
      </c>
      <c r="V248" t="s">
        <v>5602</v>
      </c>
      <c r="X248" t="s">
        <v>5603</v>
      </c>
      <c r="Z248" t="s">
        <v>5604</v>
      </c>
      <c r="AB248" t="s">
        <v>5605</v>
      </c>
      <c r="AD248" t="s">
        <v>5606</v>
      </c>
      <c r="AF248" t="s">
        <v>5607</v>
      </c>
      <c r="AH248" t="s">
        <v>5608</v>
      </c>
      <c r="AJ248" t="s">
        <v>5609</v>
      </c>
      <c r="AL248" t="s">
        <v>5610</v>
      </c>
      <c r="AN248" t="s">
        <v>5611</v>
      </c>
      <c r="AP248" t="s">
        <v>5612</v>
      </c>
      <c r="AQ248" t="s">
        <v>5613</v>
      </c>
    </row>
    <row r="249" spans="1:43">
      <c r="B249" t="s">
        <v>62</v>
      </c>
    </row>
    <row r="250" spans="1:43">
      <c r="B250" t="s">
        <v>31</v>
      </c>
    </row>
    <row r="251" spans="1:43">
      <c r="B251" t="s">
        <v>31</v>
      </c>
      <c r="T251" t="s">
        <v>5614</v>
      </c>
      <c r="V251" t="s">
        <v>5615</v>
      </c>
      <c r="X251" t="s">
        <v>5616</v>
      </c>
      <c r="Z251" t="s">
        <v>5617</v>
      </c>
      <c r="AB251" t="s">
        <v>5618</v>
      </c>
      <c r="AD251" t="s">
        <v>5619</v>
      </c>
      <c r="AF251" t="s">
        <v>5620</v>
      </c>
      <c r="AH251" t="s">
        <v>5621</v>
      </c>
      <c r="AJ251" t="s">
        <v>830</v>
      </c>
      <c r="AL251" t="s">
        <v>830</v>
      </c>
      <c r="AN251" t="s">
        <v>5622</v>
      </c>
      <c r="AP251" t="s">
        <v>5623</v>
      </c>
    </row>
    <row r="252" spans="1:43">
      <c r="B252" t="s">
        <v>5624</v>
      </c>
      <c r="E252" t="s">
        <v>451</v>
      </c>
      <c r="R252" t="s">
        <v>452</v>
      </c>
    </row>
    <row r="253" spans="1:43">
      <c r="B253" t="s">
        <v>5625</v>
      </c>
    </row>
    <row r="254" spans="1:43">
      <c r="A254" t="s">
        <v>236</v>
      </c>
      <c r="B254" t="s">
        <v>5626</v>
      </c>
      <c r="K254" t="s">
        <v>5627</v>
      </c>
      <c r="L254" t="s">
        <v>1278</v>
      </c>
      <c r="M254" t="s">
        <v>1279</v>
      </c>
      <c r="N254" t="s">
        <v>1280</v>
      </c>
      <c r="O254" t="s">
        <v>5628</v>
      </c>
      <c r="P254" t="s">
        <v>5629</v>
      </c>
      <c r="R254" t="s">
        <v>5630</v>
      </c>
      <c r="T254" t="s">
        <v>5631</v>
      </c>
      <c r="V254" t="s">
        <v>5632</v>
      </c>
      <c r="X254" t="s">
        <v>5633</v>
      </c>
      <c r="Z254" t="s">
        <v>5634</v>
      </c>
      <c r="AB254" t="s">
        <v>5635</v>
      </c>
      <c r="AD254" t="s">
        <v>5636</v>
      </c>
      <c r="AF254" t="s">
        <v>5637</v>
      </c>
      <c r="AH254" t="s">
        <v>5638</v>
      </c>
      <c r="AJ254" t="s">
        <v>830</v>
      </c>
      <c r="AL254" t="s">
        <v>5639</v>
      </c>
      <c r="AN254" t="s">
        <v>5640</v>
      </c>
      <c r="AP254" t="s">
        <v>5641</v>
      </c>
      <c r="AQ254" t="s">
        <v>5642</v>
      </c>
    </row>
    <row r="255" spans="1:43">
      <c r="A255" t="s">
        <v>311</v>
      </c>
      <c r="B255" t="s">
        <v>5643</v>
      </c>
      <c r="K255" t="s">
        <v>5644</v>
      </c>
      <c r="L255" t="s">
        <v>1278</v>
      </c>
      <c r="M255" t="s">
        <v>1279</v>
      </c>
      <c r="N255" t="s">
        <v>1280</v>
      </c>
      <c r="O255" t="s">
        <v>5645</v>
      </c>
      <c r="P255" t="s">
        <v>5646</v>
      </c>
      <c r="R255" t="s">
        <v>5647</v>
      </c>
      <c r="T255" t="s">
        <v>5648</v>
      </c>
      <c r="V255" t="s">
        <v>5649</v>
      </c>
      <c r="X255" t="s">
        <v>5650</v>
      </c>
      <c r="Z255" t="s">
        <v>5651</v>
      </c>
      <c r="AB255" t="s">
        <v>5652</v>
      </c>
      <c r="AD255" t="s">
        <v>5653</v>
      </c>
      <c r="AF255" t="s">
        <v>5654</v>
      </c>
      <c r="AH255" t="s">
        <v>5655</v>
      </c>
      <c r="AJ255" t="s">
        <v>830</v>
      </c>
      <c r="AL255" t="s">
        <v>5656</v>
      </c>
      <c r="AN255" t="s">
        <v>5657</v>
      </c>
      <c r="AP255" t="s">
        <v>5658</v>
      </c>
      <c r="AQ255" t="s">
        <v>5659</v>
      </c>
    </row>
    <row r="256" spans="1:43">
      <c r="A256" t="s">
        <v>311</v>
      </c>
      <c r="B256" t="s">
        <v>5660</v>
      </c>
      <c r="K256" t="s">
        <v>5661</v>
      </c>
      <c r="L256" t="s">
        <v>1278</v>
      </c>
      <c r="M256" t="s">
        <v>1279</v>
      </c>
      <c r="N256" t="s">
        <v>1280</v>
      </c>
      <c r="O256" t="s">
        <v>5662</v>
      </c>
      <c r="P256" t="s">
        <v>5663</v>
      </c>
      <c r="R256" t="s">
        <v>5664</v>
      </c>
      <c r="T256" t="s">
        <v>5665</v>
      </c>
      <c r="V256" t="s">
        <v>5666</v>
      </c>
      <c r="X256" t="s">
        <v>5667</v>
      </c>
      <c r="Z256" t="s">
        <v>5668</v>
      </c>
      <c r="AB256" t="s">
        <v>5669</v>
      </c>
      <c r="AD256" t="s">
        <v>5670</v>
      </c>
      <c r="AF256" t="s">
        <v>5671</v>
      </c>
      <c r="AH256" t="s">
        <v>5672</v>
      </c>
      <c r="AJ256" t="s">
        <v>830</v>
      </c>
      <c r="AL256" t="s">
        <v>5673</v>
      </c>
      <c r="AN256" t="s">
        <v>5674</v>
      </c>
      <c r="AP256" t="s">
        <v>5675</v>
      </c>
      <c r="AQ256" t="s">
        <v>5676</v>
      </c>
    </row>
    <row r="257" spans="1:43">
      <c r="B257" t="s">
        <v>31</v>
      </c>
    </row>
    <row r="258" spans="1:43">
      <c r="B258" t="s">
        <v>31</v>
      </c>
      <c r="T258" t="s">
        <v>5677</v>
      </c>
      <c r="V258" t="s">
        <v>5678</v>
      </c>
      <c r="X258" t="s">
        <v>5679</v>
      </c>
      <c r="Z258" t="s">
        <v>5680</v>
      </c>
      <c r="AB258" t="s">
        <v>5681</v>
      </c>
      <c r="AD258" t="s">
        <v>5682</v>
      </c>
      <c r="AF258" t="s">
        <v>5683</v>
      </c>
      <c r="AH258" t="s">
        <v>5684</v>
      </c>
      <c r="AJ258" t="s">
        <v>5685</v>
      </c>
      <c r="AL258" t="s">
        <v>5686</v>
      </c>
      <c r="AN258" t="s">
        <v>5687</v>
      </c>
      <c r="AP258" t="s">
        <v>5688</v>
      </c>
      <c r="AQ258" t="s">
        <v>5689</v>
      </c>
    </row>
    <row r="259" spans="1:43">
      <c r="A259" t="s">
        <v>236</v>
      </c>
      <c r="B259" t="s">
        <v>5624</v>
      </c>
      <c r="K259" t="s">
        <v>1711</v>
      </c>
      <c r="L259" t="s">
        <v>1278</v>
      </c>
      <c r="M259" t="s">
        <v>1279</v>
      </c>
      <c r="N259" t="s">
        <v>1280</v>
      </c>
      <c r="O259" t="s">
        <v>5690</v>
      </c>
      <c r="P259" t="s">
        <v>1713</v>
      </c>
      <c r="R259" t="s">
        <v>457</v>
      </c>
      <c r="T259" t="s">
        <v>5691</v>
      </c>
      <c r="V259" t="s">
        <v>5692</v>
      </c>
      <c r="X259" t="s">
        <v>5693</v>
      </c>
      <c r="Z259" t="s">
        <v>5694</v>
      </c>
      <c r="AB259" t="s">
        <v>5695</v>
      </c>
      <c r="AD259" t="s">
        <v>5696</v>
      </c>
      <c r="AF259" t="s">
        <v>5697</v>
      </c>
      <c r="AH259" t="s">
        <v>5698</v>
      </c>
      <c r="AJ259" t="s">
        <v>5699</v>
      </c>
      <c r="AL259" t="s">
        <v>5700</v>
      </c>
      <c r="AN259" t="s">
        <v>5701</v>
      </c>
      <c r="AP259" t="s">
        <v>5702</v>
      </c>
      <c r="AQ259" t="s">
        <v>5703</v>
      </c>
    </row>
    <row r="260" spans="1:43">
      <c r="B260" t="s">
        <v>5704</v>
      </c>
    </row>
    <row r="261" spans="1:43">
      <c r="B261" t="s">
        <v>5705</v>
      </c>
      <c r="R261" t="s">
        <v>458</v>
      </c>
      <c r="T261" t="s">
        <v>5706</v>
      </c>
      <c r="V261" t="s">
        <v>5707</v>
      </c>
      <c r="X261" t="s">
        <v>5708</v>
      </c>
      <c r="Z261" t="s">
        <v>5709</v>
      </c>
      <c r="AB261" t="s">
        <v>5710</v>
      </c>
      <c r="AD261" t="s">
        <v>5711</v>
      </c>
      <c r="AF261" t="s">
        <v>5712</v>
      </c>
      <c r="AH261" t="s">
        <v>5713</v>
      </c>
      <c r="AJ261" t="s">
        <v>5714</v>
      </c>
      <c r="AL261" t="s">
        <v>5715</v>
      </c>
      <c r="AN261" t="s">
        <v>5716</v>
      </c>
      <c r="AP261" t="s">
        <v>5717</v>
      </c>
      <c r="AQ261" t="s">
        <v>5718</v>
      </c>
    </row>
    <row r="262" spans="1:43">
      <c r="B262" t="s">
        <v>5704</v>
      </c>
    </row>
    <row r="263" spans="1:43">
      <c r="B263" t="s">
        <v>62</v>
      </c>
      <c r="R263" t="s">
        <v>1742</v>
      </c>
      <c r="T263" t="s">
        <v>5719</v>
      </c>
      <c r="V263" t="s">
        <v>5720</v>
      </c>
      <c r="X263" t="s">
        <v>5721</v>
      </c>
      <c r="Z263" t="s">
        <v>5722</v>
      </c>
      <c r="AB263" t="s">
        <v>5723</v>
      </c>
      <c r="AD263" t="s">
        <v>5724</v>
      </c>
      <c r="AF263" t="s">
        <v>5725</v>
      </c>
      <c r="AH263" t="s">
        <v>5726</v>
      </c>
      <c r="AJ263" t="s">
        <v>5727</v>
      </c>
      <c r="AL263" t="s">
        <v>5728</v>
      </c>
      <c r="AN263" t="s">
        <v>5729</v>
      </c>
      <c r="AP263" t="s">
        <v>5730</v>
      </c>
      <c r="AQ263" t="s">
        <v>5731</v>
      </c>
    </row>
    <row r="264" spans="1:43">
      <c r="B264" t="s">
        <v>62</v>
      </c>
    </row>
    <row r="265" spans="1:43">
      <c r="B265" t="s">
        <v>31</v>
      </c>
      <c r="O265" t="s">
        <v>459</v>
      </c>
      <c r="P265" t="s">
        <v>1756</v>
      </c>
      <c r="R265" t="s">
        <v>460</v>
      </c>
      <c r="T265" t="s">
        <v>5732</v>
      </c>
      <c r="V265" t="s">
        <v>5733</v>
      </c>
      <c r="X265" t="s">
        <v>5734</v>
      </c>
      <c r="Z265" t="s">
        <v>5735</v>
      </c>
      <c r="AB265" t="s">
        <v>5736</v>
      </c>
      <c r="AD265" t="s">
        <v>5737</v>
      </c>
      <c r="AF265" t="s">
        <v>5738</v>
      </c>
      <c r="AH265" t="s">
        <v>5739</v>
      </c>
      <c r="AJ265" t="s">
        <v>830</v>
      </c>
      <c r="AL265" t="s">
        <v>5740</v>
      </c>
      <c r="AN265" t="s">
        <v>830</v>
      </c>
      <c r="AP265" t="s">
        <v>830</v>
      </c>
      <c r="AQ265" t="s">
        <v>5741</v>
      </c>
    </row>
    <row r="266" spans="1:43">
      <c r="B266" t="s">
        <v>31</v>
      </c>
      <c r="R266" t="s">
        <v>461</v>
      </c>
      <c r="T266" t="s">
        <v>830</v>
      </c>
      <c r="V266" t="s">
        <v>830</v>
      </c>
      <c r="X266" t="s">
        <v>830</v>
      </c>
      <c r="Z266" t="s">
        <v>830</v>
      </c>
      <c r="AB266" t="s">
        <v>830</v>
      </c>
      <c r="AF266" t="s">
        <v>5742</v>
      </c>
      <c r="AH266" t="s">
        <v>5743</v>
      </c>
      <c r="AJ266" t="s">
        <v>830</v>
      </c>
      <c r="AN266" t="s">
        <v>830</v>
      </c>
      <c r="AP266" t="s">
        <v>830</v>
      </c>
      <c r="AQ266" t="s">
        <v>5744</v>
      </c>
    </row>
    <row r="267" spans="1:43">
      <c r="B267" t="s">
        <v>31</v>
      </c>
      <c r="R267" t="s">
        <v>462</v>
      </c>
      <c r="T267" t="s">
        <v>5745</v>
      </c>
      <c r="V267" t="s">
        <v>5746</v>
      </c>
      <c r="X267" t="s">
        <v>5747</v>
      </c>
      <c r="Z267" t="s">
        <v>5748</v>
      </c>
      <c r="AB267" t="s">
        <v>5749</v>
      </c>
      <c r="AD267" t="s">
        <v>5750</v>
      </c>
      <c r="AF267" t="s">
        <v>5751</v>
      </c>
      <c r="AH267" t="s">
        <v>5752</v>
      </c>
      <c r="AJ267" t="s">
        <v>830</v>
      </c>
      <c r="AL267" t="s">
        <v>5753</v>
      </c>
      <c r="AN267" t="s">
        <v>830</v>
      </c>
      <c r="AP267" t="s">
        <v>830</v>
      </c>
      <c r="AQ267" t="s">
        <v>5754</v>
      </c>
    </row>
    <row r="268" spans="1:43">
      <c r="B268" t="s">
        <v>62</v>
      </c>
      <c r="O268" t="s">
        <v>459</v>
      </c>
      <c r="P268" t="s">
        <v>1756</v>
      </c>
      <c r="R268" t="s">
        <v>1780</v>
      </c>
      <c r="T268" t="s">
        <v>5755</v>
      </c>
      <c r="V268" t="s">
        <v>5756</v>
      </c>
      <c r="X268" t="s">
        <v>5757</v>
      </c>
      <c r="Z268" t="s">
        <v>5758</v>
      </c>
      <c r="AB268" t="s">
        <v>5759</v>
      </c>
      <c r="AD268" t="s">
        <v>5760</v>
      </c>
      <c r="AF268" t="s">
        <v>5761</v>
      </c>
      <c r="AH268" t="s">
        <v>5762</v>
      </c>
      <c r="AJ268" t="s">
        <v>830</v>
      </c>
      <c r="AL268" t="s">
        <v>5763</v>
      </c>
      <c r="AN268" t="s">
        <v>830</v>
      </c>
      <c r="AP268" t="s">
        <v>5764</v>
      </c>
      <c r="AQ268" t="s">
        <v>5765</v>
      </c>
    </row>
    <row r="269" spans="1:43">
      <c r="B269" t="s">
        <v>62</v>
      </c>
    </row>
    <row r="270" spans="1:43">
      <c r="B270" t="s">
        <v>62</v>
      </c>
      <c r="R270" t="s">
        <v>1792</v>
      </c>
      <c r="T270" t="s">
        <v>5766</v>
      </c>
      <c r="V270" t="s">
        <v>5767</v>
      </c>
      <c r="X270" t="s">
        <v>5768</v>
      </c>
      <c r="Z270" t="s">
        <v>5769</v>
      </c>
      <c r="AB270" t="s">
        <v>5770</v>
      </c>
      <c r="AD270" t="s">
        <v>5771</v>
      </c>
      <c r="AF270" t="s">
        <v>5772</v>
      </c>
      <c r="AH270" t="s">
        <v>5773</v>
      </c>
      <c r="AJ270" t="s">
        <v>5774</v>
      </c>
      <c r="AL270" t="s">
        <v>5775</v>
      </c>
      <c r="AN270" t="s">
        <v>5776</v>
      </c>
      <c r="AP270" t="s">
        <v>5777</v>
      </c>
      <c r="AQ270" t="s">
        <v>5778</v>
      </c>
    </row>
    <row r="271" spans="1:43">
      <c r="B271" t="s">
        <v>5779</v>
      </c>
    </row>
    <row r="272" spans="1:43">
      <c r="B272" t="s">
        <v>5780</v>
      </c>
      <c r="AQ272" t="s">
        <v>5781</v>
      </c>
    </row>
    <row r="273" spans="2:42">
      <c r="B273" t="s">
        <v>5782</v>
      </c>
    </row>
    <row r="274" spans="2:42">
      <c r="B274" t="s">
        <v>5783</v>
      </c>
      <c r="T274" t="s">
        <v>301</v>
      </c>
      <c r="V274" t="s">
        <v>1811</v>
      </c>
      <c r="X274" t="s">
        <v>1811</v>
      </c>
      <c r="Z274" t="s">
        <v>1811</v>
      </c>
      <c r="AB274" t="s">
        <v>1812</v>
      </c>
      <c r="AD274" t="s">
        <v>1813</v>
      </c>
      <c r="AF274" t="s">
        <v>1814</v>
      </c>
      <c r="AH274" t="s">
        <v>1815</v>
      </c>
      <c r="AJ274" t="s">
        <v>1816</v>
      </c>
      <c r="AL274" t="s">
        <v>1817</v>
      </c>
      <c r="AN274" t="s">
        <v>1818</v>
      </c>
      <c r="AP274" t="s">
        <v>1819</v>
      </c>
    </row>
    <row r="275" spans="2:42">
      <c r="B275" t="s">
        <v>5784</v>
      </c>
      <c r="T275" t="s">
        <v>1821</v>
      </c>
      <c r="V275" t="s">
        <v>1822</v>
      </c>
      <c r="X275" t="s">
        <v>1823</v>
      </c>
      <c r="Z275" t="s">
        <v>1824</v>
      </c>
      <c r="AB275" t="s">
        <v>1825</v>
      </c>
      <c r="AD275" t="s">
        <v>1826</v>
      </c>
      <c r="AF275" t="s">
        <v>1827</v>
      </c>
      <c r="AH275" t="s">
        <v>1828</v>
      </c>
      <c r="AJ275" t="s">
        <v>1829</v>
      </c>
      <c r="AL275" t="s">
        <v>1830</v>
      </c>
      <c r="AN275" t="s">
        <v>1831</v>
      </c>
      <c r="AP275" t="s">
        <v>1832</v>
      </c>
    </row>
    <row r="276" spans="2:42">
      <c r="B276" t="s">
        <v>5785</v>
      </c>
      <c r="T276" t="s">
        <v>1834</v>
      </c>
      <c r="V276" t="s">
        <v>1835</v>
      </c>
      <c r="X276" t="s">
        <v>1836</v>
      </c>
      <c r="Z276" t="s">
        <v>1837</v>
      </c>
      <c r="AB276" t="s">
        <v>1838</v>
      </c>
      <c r="AD276" t="s">
        <v>1839</v>
      </c>
      <c r="AF276" t="s">
        <v>1840</v>
      </c>
      <c r="AH276" t="s">
        <v>1841</v>
      </c>
      <c r="AJ276" t="s">
        <v>1842</v>
      </c>
      <c r="AL276" t="s">
        <v>1843</v>
      </c>
      <c r="AN276" t="s">
        <v>1844</v>
      </c>
      <c r="AP276" t="s">
        <v>1845</v>
      </c>
    </row>
    <row r="277" spans="2:42">
      <c r="B277" t="s">
        <v>5786</v>
      </c>
    </row>
    <row r="278" spans="2:42">
      <c r="B278" t="s">
        <v>5787</v>
      </c>
      <c r="P278" t="s">
        <v>463</v>
      </c>
      <c r="T278" t="s">
        <v>5788</v>
      </c>
      <c r="V278" t="s">
        <v>5789</v>
      </c>
      <c r="X278" t="s">
        <v>5790</v>
      </c>
      <c r="Z278" t="s">
        <v>5791</v>
      </c>
      <c r="AB278" t="s">
        <v>5792</v>
      </c>
      <c r="AD278" t="s">
        <v>5793</v>
      </c>
      <c r="AF278" t="s">
        <v>5794</v>
      </c>
      <c r="AH278" t="s">
        <v>5795</v>
      </c>
      <c r="AJ278" t="s">
        <v>830</v>
      </c>
      <c r="AL278" t="s">
        <v>830</v>
      </c>
      <c r="AN278" t="s">
        <v>830</v>
      </c>
      <c r="AP278" t="s">
        <v>830</v>
      </c>
    </row>
    <row r="279" spans="2:42">
      <c r="B279" t="s">
        <v>5796</v>
      </c>
      <c r="P279" t="s">
        <v>464</v>
      </c>
      <c r="T279" t="s">
        <v>5797</v>
      </c>
      <c r="V279" t="s">
        <v>5798</v>
      </c>
      <c r="X279" t="s">
        <v>5799</v>
      </c>
      <c r="Z279" t="s">
        <v>5800</v>
      </c>
      <c r="AB279" t="s">
        <v>5801</v>
      </c>
      <c r="AD279" t="s">
        <v>5802</v>
      </c>
      <c r="AF279" t="s">
        <v>5803</v>
      </c>
      <c r="AH279" t="s">
        <v>5804</v>
      </c>
      <c r="AJ279" t="s">
        <v>830</v>
      </c>
      <c r="AL279" t="s">
        <v>830</v>
      </c>
      <c r="AN279" t="s">
        <v>830</v>
      </c>
      <c r="AP279" t="s">
        <v>830</v>
      </c>
    </row>
    <row r="280" spans="2:42">
      <c r="B280" t="s">
        <v>5805</v>
      </c>
      <c r="P280" t="s">
        <v>451</v>
      </c>
      <c r="T280" t="s">
        <v>5806</v>
      </c>
      <c r="V280" t="s">
        <v>5807</v>
      </c>
      <c r="X280" t="s">
        <v>5808</v>
      </c>
      <c r="Z280" t="s">
        <v>5809</v>
      </c>
      <c r="AB280" t="s">
        <v>5810</v>
      </c>
      <c r="AD280" t="s">
        <v>5811</v>
      </c>
      <c r="AF280" t="s">
        <v>5812</v>
      </c>
      <c r="AH280" t="s">
        <v>5813</v>
      </c>
      <c r="AJ280" t="s">
        <v>830</v>
      </c>
      <c r="AL280" t="s">
        <v>830</v>
      </c>
      <c r="AN280" t="s">
        <v>830</v>
      </c>
      <c r="AP280" t="s">
        <v>830</v>
      </c>
    </row>
    <row r="281" spans="2:42">
      <c r="B281" t="s">
        <v>5814</v>
      </c>
      <c r="P281" t="s">
        <v>465</v>
      </c>
      <c r="T281" t="s">
        <v>5815</v>
      </c>
      <c r="V281" t="s">
        <v>5816</v>
      </c>
      <c r="X281" t="s">
        <v>5817</v>
      </c>
      <c r="Z281" t="s">
        <v>5818</v>
      </c>
      <c r="AB281" t="s">
        <v>5819</v>
      </c>
      <c r="AD281" t="s">
        <v>5820</v>
      </c>
      <c r="AF281" t="s">
        <v>5821</v>
      </c>
      <c r="AH281" t="s">
        <v>5822</v>
      </c>
      <c r="AJ281" t="s">
        <v>830</v>
      </c>
      <c r="AL281" t="s">
        <v>830</v>
      </c>
      <c r="AN281" t="s">
        <v>830</v>
      </c>
      <c r="AP281" t="s">
        <v>830</v>
      </c>
    </row>
    <row r="282" spans="2:42">
      <c r="B282" t="s">
        <v>5823</v>
      </c>
    </row>
    <row r="283" spans="2:42">
      <c r="B283" t="s">
        <v>5824</v>
      </c>
      <c r="R283" t="s">
        <v>5825</v>
      </c>
      <c r="V283" t="s">
        <v>5826</v>
      </c>
      <c r="X283" t="s">
        <v>5827</v>
      </c>
      <c r="Z283" t="s">
        <v>5828</v>
      </c>
      <c r="AB283" t="s">
        <v>5829</v>
      </c>
      <c r="AD283" t="s">
        <v>5830</v>
      </c>
      <c r="AF283" t="s">
        <v>5831</v>
      </c>
      <c r="AH283" t="s">
        <v>5832</v>
      </c>
      <c r="AN283" t="s">
        <v>5833</v>
      </c>
    </row>
    <row r="284" spans="2:42">
      <c r="B284" t="s">
        <v>31</v>
      </c>
    </row>
    <row r="285" spans="2:42">
      <c r="B285" t="s">
        <v>31</v>
      </c>
      <c r="T285" t="s">
        <v>461</v>
      </c>
      <c r="AD285" t="s">
        <v>466</v>
      </c>
      <c r="AF285" t="s">
        <v>466</v>
      </c>
    </row>
    <row r="286" spans="2:42">
      <c r="B286" t="s">
        <v>31</v>
      </c>
      <c r="P286" t="s">
        <v>463</v>
      </c>
      <c r="T286" t="s">
        <v>5834</v>
      </c>
      <c r="AD286" t="s">
        <v>5835</v>
      </c>
      <c r="AF286" t="s">
        <v>5836</v>
      </c>
    </row>
    <row r="287" spans="2:42">
      <c r="B287" t="s">
        <v>31</v>
      </c>
      <c r="P287" t="s">
        <v>464</v>
      </c>
      <c r="T287" t="s">
        <v>5837</v>
      </c>
      <c r="AD287" t="s">
        <v>5838</v>
      </c>
      <c r="AF287" t="s">
        <v>5839</v>
      </c>
    </row>
    <row r="288" spans="2:42">
      <c r="B288" t="s">
        <v>31</v>
      </c>
      <c r="P288" t="s">
        <v>451</v>
      </c>
      <c r="T288" t="s">
        <v>5840</v>
      </c>
      <c r="AD288" t="s">
        <v>5841</v>
      </c>
      <c r="AF288" t="s">
        <v>5842</v>
      </c>
    </row>
    <row r="289" spans="2:32">
      <c r="B289" t="s">
        <v>31</v>
      </c>
      <c r="AD289" t="s">
        <v>5843</v>
      </c>
      <c r="AF289" t="s">
        <v>5844</v>
      </c>
    </row>
    <row r="290" spans="2:32">
      <c r="B290" t="s">
        <v>5845</v>
      </c>
    </row>
    <row r="291" spans="2:32">
      <c r="B291" t="s">
        <v>5846</v>
      </c>
    </row>
    <row r="292" spans="2:32">
      <c r="B292" t="s">
        <v>5847</v>
      </c>
      <c r="P292" t="s">
        <v>1277</v>
      </c>
      <c r="R292" t="s">
        <v>467</v>
      </c>
      <c r="X292" t="s">
        <v>5848</v>
      </c>
      <c r="Z292" t="s">
        <v>5849</v>
      </c>
      <c r="AB292" t="s">
        <v>5850</v>
      </c>
    </row>
    <row r="293" spans="2:32">
      <c r="B293" t="s">
        <v>5851</v>
      </c>
      <c r="P293" t="s">
        <v>1907</v>
      </c>
      <c r="R293" t="s">
        <v>468</v>
      </c>
      <c r="V293" t="s">
        <v>1908</v>
      </c>
      <c r="X293" t="s">
        <v>5852</v>
      </c>
      <c r="Z293" t="s">
        <v>5853</v>
      </c>
      <c r="AB293" t="s">
        <v>5854</v>
      </c>
    </row>
    <row r="294" spans="2:32">
      <c r="B294" t="s">
        <v>5855</v>
      </c>
      <c r="P294" t="s">
        <v>556</v>
      </c>
      <c r="R294" t="s">
        <v>469</v>
      </c>
      <c r="V294" t="s">
        <v>1908</v>
      </c>
      <c r="X294" t="s">
        <v>5856</v>
      </c>
      <c r="Z294" t="s">
        <v>5857</v>
      </c>
      <c r="AB294" t="s">
        <v>5858</v>
      </c>
    </row>
    <row r="295" spans="2:32">
      <c r="B295" t="s">
        <v>5859</v>
      </c>
      <c r="P295" t="s">
        <v>1915</v>
      </c>
      <c r="R295" t="s">
        <v>439</v>
      </c>
      <c r="V295" t="s">
        <v>470</v>
      </c>
      <c r="X295" t="s">
        <v>5860</v>
      </c>
      <c r="Z295" t="s">
        <v>5861</v>
      </c>
      <c r="AB295" t="s">
        <v>5862</v>
      </c>
    </row>
    <row r="296" spans="2:32">
      <c r="B296" t="s">
        <v>5863</v>
      </c>
      <c r="P296" t="s">
        <v>5864</v>
      </c>
      <c r="R296" t="s">
        <v>439</v>
      </c>
      <c r="V296" t="s">
        <v>470</v>
      </c>
      <c r="X296" t="s">
        <v>5865</v>
      </c>
      <c r="Z296" t="s">
        <v>5866</v>
      </c>
      <c r="AB296" t="s">
        <v>5867</v>
      </c>
    </row>
    <row r="297" spans="2:32">
      <c r="B297" t="s">
        <v>5868</v>
      </c>
      <c r="P297" t="s">
        <v>5869</v>
      </c>
      <c r="R297" t="s">
        <v>439</v>
      </c>
      <c r="V297" t="s">
        <v>470</v>
      </c>
      <c r="X297" t="s">
        <v>5870</v>
      </c>
      <c r="Z297" t="s">
        <v>5871</v>
      </c>
      <c r="AB297" t="s">
        <v>5872</v>
      </c>
    </row>
    <row r="298" spans="2:32">
      <c r="B298" t="s">
        <v>5873</v>
      </c>
      <c r="P298" t="s">
        <v>5874</v>
      </c>
      <c r="R298" t="s">
        <v>439</v>
      </c>
      <c r="V298" t="s">
        <v>470</v>
      </c>
      <c r="X298" t="s">
        <v>5875</v>
      </c>
      <c r="Z298" t="s">
        <v>5876</v>
      </c>
      <c r="AB298" t="s">
        <v>5877</v>
      </c>
    </row>
    <row r="299" spans="2:32">
      <c r="B299" t="s">
        <v>5878</v>
      </c>
      <c r="R299" t="s">
        <v>471</v>
      </c>
      <c r="Z299" t="s">
        <v>5879</v>
      </c>
      <c r="AB299" t="s">
        <v>5880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BF158"/>
  <sheetViews>
    <sheetView workbookViewId="0"/>
  </sheetViews>
  <sheetFormatPr defaultRowHeight="12.75"/>
  <sheetData>
    <row r="1" spans="1:58">
      <c r="A1" t="s">
        <v>5881</v>
      </c>
      <c r="B1" t="s">
        <v>53</v>
      </c>
      <c r="C1" t="s">
        <v>31</v>
      </c>
      <c r="D1" t="s">
        <v>31</v>
      </c>
      <c r="E1" t="s">
        <v>31</v>
      </c>
      <c r="F1" t="s">
        <v>31</v>
      </c>
      <c r="G1" t="s">
        <v>234</v>
      </c>
      <c r="H1" t="s">
        <v>31</v>
      </c>
      <c r="I1" t="s">
        <v>31</v>
      </c>
      <c r="J1" t="s">
        <v>31</v>
      </c>
      <c r="K1" t="s">
        <v>31</v>
      </c>
      <c r="L1" t="s">
        <v>235</v>
      </c>
      <c r="M1" t="s">
        <v>235</v>
      </c>
      <c r="N1" t="s">
        <v>235</v>
      </c>
      <c r="O1" t="s">
        <v>235</v>
      </c>
      <c r="P1" t="s">
        <v>1170</v>
      </c>
      <c r="Q1" t="s">
        <v>1171</v>
      </c>
      <c r="R1" t="s">
        <v>62</v>
      </c>
      <c r="S1" t="s">
        <v>31</v>
      </c>
      <c r="T1" t="s">
        <v>31</v>
      </c>
      <c r="V1" t="s">
        <v>1172</v>
      </c>
      <c r="W1" t="s">
        <v>1173</v>
      </c>
      <c r="X1" t="s">
        <v>1174</v>
      </c>
      <c r="Y1" t="s">
        <v>1175</v>
      </c>
      <c r="Z1" t="s">
        <v>1176</v>
      </c>
      <c r="AA1" t="s">
        <v>1177</v>
      </c>
      <c r="AB1" t="s">
        <v>1178</v>
      </c>
      <c r="AC1" t="s">
        <v>1179</v>
      </c>
      <c r="AD1" t="s">
        <v>1180</v>
      </c>
      <c r="AE1" t="s">
        <v>1181</v>
      </c>
      <c r="AF1" t="s">
        <v>1182</v>
      </c>
      <c r="AG1" t="s">
        <v>1183</v>
      </c>
      <c r="AH1" t="s">
        <v>1184</v>
      </c>
      <c r="AI1" t="s">
        <v>1185</v>
      </c>
      <c r="AJ1" t="s">
        <v>1186</v>
      </c>
      <c r="AK1" t="s">
        <v>1185</v>
      </c>
      <c r="AL1" t="s">
        <v>62</v>
      </c>
      <c r="AM1" t="s">
        <v>1187</v>
      </c>
      <c r="AN1" t="s">
        <v>31</v>
      </c>
      <c r="AO1" t="s">
        <v>31</v>
      </c>
      <c r="AP1" t="s">
        <v>236</v>
      </c>
      <c r="AQ1" t="s">
        <v>31</v>
      </c>
      <c r="AS1" t="s">
        <v>236</v>
      </c>
      <c r="AT1" t="s">
        <v>237</v>
      </c>
      <c r="AU1" t="s">
        <v>237</v>
      </c>
      <c r="AV1" t="s">
        <v>237</v>
      </c>
      <c r="AW1" t="s">
        <v>237</v>
      </c>
      <c r="AX1" t="s">
        <v>237</v>
      </c>
      <c r="AY1" t="s">
        <v>237</v>
      </c>
      <c r="AZ1" t="s">
        <v>237</v>
      </c>
      <c r="BA1" t="s">
        <v>237</v>
      </c>
      <c r="BB1" t="s">
        <v>237</v>
      </c>
      <c r="BC1" t="s">
        <v>237</v>
      </c>
      <c r="BD1" t="s">
        <v>237</v>
      </c>
      <c r="BE1" t="s">
        <v>237</v>
      </c>
      <c r="BF1" t="s">
        <v>237</v>
      </c>
    </row>
    <row r="2" spans="1:58">
      <c r="B2" t="s">
        <v>5882</v>
      </c>
      <c r="C2" t="s">
        <v>1189</v>
      </c>
      <c r="T2" t="s">
        <v>1190</v>
      </c>
      <c r="V2" t="s">
        <v>1191</v>
      </c>
      <c r="X2" t="s">
        <v>1192</v>
      </c>
      <c r="Z2" t="s">
        <v>1193</v>
      </c>
      <c r="AB2" t="s">
        <v>1194</v>
      </c>
      <c r="AD2" t="s">
        <v>1195</v>
      </c>
      <c r="AF2" t="s">
        <v>1196</v>
      </c>
      <c r="AH2" t="s">
        <v>1190</v>
      </c>
      <c r="AJ2" t="s">
        <v>1197</v>
      </c>
    </row>
    <row r="3" spans="1:58">
      <c r="B3" t="s">
        <v>31</v>
      </c>
      <c r="C3" t="s">
        <v>1198</v>
      </c>
      <c r="H3" t="s">
        <v>238</v>
      </c>
      <c r="I3" t="s">
        <v>239</v>
      </c>
      <c r="J3" t="s">
        <v>240</v>
      </c>
      <c r="T3" t="s">
        <v>1199</v>
      </c>
      <c r="V3" t="s">
        <v>1200</v>
      </c>
      <c r="X3" t="s">
        <v>1201</v>
      </c>
      <c r="Z3" t="s">
        <v>1202</v>
      </c>
      <c r="AB3" t="s">
        <v>1203</v>
      </c>
      <c r="AD3" t="s">
        <v>1204</v>
      </c>
      <c r="AF3" t="s">
        <v>1205</v>
      </c>
      <c r="AH3" t="s">
        <v>1199</v>
      </c>
      <c r="AJ3" t="s">
        <v>1206</v>
      </c>
      <c r="AN3" t="s">
        <v>1207</v>
      </c>
      <c r="AP3" t="s">
        <v>1207</v>
      </c>
    </row>
    <row r="4" spans="1:58">
      <c r="B4" t="s">
        <v>31</v>
      </c>
      <c r="E4" t="s">
        <v>248</v>
      </c>
      <c r="F4" t="s">
        <v>1208</v>
      </c>
      <c r="H4" t="s">
        <v>1209</v>
      </c>
      <c r="I4" t="s">
        <v>1210</v>
      </c>
      <c r="J4" t="s">
        <v>1211</v>
      </c>
      <c r="T4" t="s">
        <v>251</v>
      </c>
      <c r="V4" t="s">
        <v>251</v>
      </c>
      <c r="X4" t="s">
        <v>251</v>
      </c>
      <c r="Z4" t="s">
        <v>251</v>
      </c>
      <c r="AB4" t="s">
        <v>251</v>
      </c>
      <c r="AD4" t="s">
        <v>252</v>
      </c>
      <c r="AF4" t="s">
        <v>252</v>
      </c>
      <c r="AH4" t="s">
        <v>251</v>
      </c>
      <c r="AJ4" t="s">
        <v>252</v>
      </c>
      <c r="AL4" t="s">
        <v>252</v>
      </c>
      <c r="AN4" t="s">
        <v>252</v>
      </c>
      <c r="AP4" t="s">
        <v>252</v>
      </c>
    </row>
    <row r="5" spans="1:58">
      <c r="B5" t="s">
        <v>31</v>
      </c>
      <c r="C5" t="s">
        <v>253</v>
      </c>
      <c r="D5" t="s">
        <v>74</v>
      </c>
      <c r="E5" t="s">
        <v>87</v>
      </c>
      <c r="F5" t="s">
        <v>803</v>
      </c>
      <c r="H5" t="s">
        <v>1212</v>
      </c>
      <c r="I5" t="s">
        <v>1213</v>
      </c>
      <c r="J5" t="s">
        <v>1214</v>
      </c>
      <c r="T5" t="s">
        <v>1215</v>
      </c>
      <c r="V5" t="s">
        <v>1216</v>
      </c>
      <c r="X5" t="s">
        <v>1217</v>
      </c>
      <c r="Z5" t="s">
        <v>1218</v>
      </c>
      <c r="AB5" t="s">
        <v>1219</v>
      </c>
      <c r="AD5" t="s">
        <v>1220</v>
      </c>
      <c r="AF5" t="s">
        <v>1221</v>
      </c>
      <c r="AH5" t="s">
        <v>1215</v>
      </c>
      <c r="AJ5" t="s">
        <v>1222</v>
      </c>
      <c r="AN5" t="s">
        <v>1223</v>
      </c>
      <c r="AP5" t="s">
        <v>1223</v>
      </c>
    </row>
    <row r="6" spans="1:58">
      <c r="B6" t="s">
        <v>31</v>
      </c>
      <c r="C6" t="s">
        <v>255</v>
      </c>
      <c r="D6" t="s">
        <v>807</v>
      </c>
      <c r="E6" t="s">
        <v>256</v>
      </c>
      <c r="F6" t="s">
        <v>1224</v>
      </c>
      <c r="H6" t="s">
        <v>1225</v>
      </c>
      <c r="I6" t="s">
        <v>1226</v>
      </c>
      <c r="J6" t="s">
        <v>1227</v>
      </c>
      <c r="AD6" t="s">
        <v>99</v>
      </c>
      <c r="AF6" t="s">
        <v>99</v>
      </c>
      <c r="AJ6" t="s">
        <v>99</v>
      </c>
      <c r="AN6" t="s">
        <v>99</v>
      </c>
      <c r="AP6" t="s">
        <v>99</v>
      </c>
    </row>
    <row r="7" spans="1:58">
      <c r="B7" t="s">
        <v>31</v>
      </c>
      <c r="C7" t="s">
        <v>65</v>
      </c>
      <c r="D7" t="s">
        <v>817</v>
      </c>
      <c r="E7" t="s">
        <v>258</v>
      </c>
      <c r="F7" t="s">
        <v>1228</v>
      </c>
      <c r="H7" t="s">
        <v>1229</v>
      </c>
      <c r="I7" t="s">
        <v>1230</v>
      </c>
      <c r="J7" t="s">
        <v>1207</v>
      </c>
      <c r="AD7" t="s">
        <v>260</v>
      </c>
      <c r="AF7" t="s">
        <v>260</v>
      </c>
      <c r="AN7" t="s">
        <v>260</v>
      </c>
      <c r="AP7" t="s">
        <v>260</v>
      </c>
    </row>
    <row r="8" spans="1:58">
      <c r="B8" t="s">
        <v>31</v>
      </c>
      <c r="C8" t="s">
        <v>261</v>
      </c>
      <c r="D8" t="s">
        <v>99</v>
      </c>
      <c r="E8" t="s">
        <v>262</v>
      </c>
      <c r="F8" t="s">
        <v>1231</v>
      </c>
      <c r="H8" t="s">
        <v>1232</v>
      </c>
      <c r="I8" t="s">
        <v>1233</v>
      </c>
      <c r="AD8" t="s">
        <v>1234</v>
      </c>
      <c r="AF8" t="s">
        <v>1235</v>
      </c>
    </row>
    <row r="9" spans="1:58">
      <c r="B9" t="s">
        <v>31</v>
      </c>
      <c r="C9" t="s">
        <v>263</v>
      </c>
      <c r="D9" t="s">
        <v>59</v>
      </c>
      <c r="E9" t="s">
        <v>264</v>
      </c>
      <c r="F9" t="s">
        <v>1236</v>
      </c>
      <c r="H9" t="s">
        <v>1237</v>
      </c>
      <c r="I9" t="s">
        <v>1238</v>
      </c>
    </row>
    <row r="10" spans="1:58">
      <c r="B10" t="s">
        <v>31</v>
      </c>
      <c r="C10" t="s">
        <v>265</v>
      </c>
      <c r="D10" t="s">
        <v>1239</v>
      </c>
      <c r="E10" t="s">
        <v>266</v>
      </c>
      <c r="F10" t="s">
        <v>1240</v>
      </c>
      <c r="H10" t="s">
        <v>1241</v>
      </c>
      <c r="I10" t="s">
        <v>1242</v>
      </c>
    </row>
    <row r="11" spans="1:58">
      <c r="B11" t="s">
        <v>31</v>
      </c>
      <c r="C11" t="s">
        <v>267</v>
      </c>
      <c r="D11" t="s">
        <v>1243</v>
      </c>
      <c r="E11" t="s">
        <v>268</v>
      </c>
      <c r="F11" t="s">
        <v>1244</v>
      </c>
      <c r="H11" t="s">
        <v>1245</v>
      </c>
      <c r="I11" t="s">
        <v>1246</v>
      </c>
    </row>
    <row r="12" spans="1:58">
      <c r="B12" t="s">
        <v>31</v>
      </c>
      <c r="E12" t="s">
        <v>269</v>
      </c>
      <c r="F12" t="s">
        <v>1247</v>
      </c>
      <c r="J12" t="s">
        <v>106</v>
      </c>
    </row>
    <row r="13" spans="1:58">
      <c r="B13" t="s">
        <v>31</v>
      </c>
      <c r="E13" t="s">
        <v>270</v>
      </c>
      <c r="F13" t="s">
        <v>1248</v>
      </c>
      <c r="J13" t="s">
        <v>271</v>
      </c>
    </row>
    <row r="14" spans="1:58">
      <c r="B14" t="s">
        <v>31</v>
      </c>
      <c r="E14" t="s">
        <v>97</v>
      </c>
      <c r="F14" t="s">
        <v>1249</v>
      </c>
    </row>
    <row r="15" spans="1:58">
      <c r="B15" t="s">
        <v>31</v>
      </c>
      <c r="E15" t="s">
        <v>272</v>
      </c>
      <c r="F15" t="s">
        <v>1250</v>
      </c>
    </row>
    <row r="16" spans="1:58">
      <c r="B16" t="s">
        <v>31</v>
      </c>
      <c r="E16" t="s">
        <v>102</v>
      </c>
      <c r="F16" t="s">
        <v>1251</v>
      </c>
    </row>
    <row r="17" spans="1:45">
      <c r="B17" t="s">
        <v>31</v>
      </c>
      <c r="E17" t="s">
        <v>65</v>
      </c>
      <c r="F17" t="s">
        <v>1965</v>
      </c>
    </row>
    <row r="18" spans="1:45">
      <c r="B18" t="s">
        <v>31</v>
      </c>
    </row>
    <row r="19" spans="1:45">
      <c r="B19" t="s">
        <v>31</v>
      </c>
      <c r="E19" t="s">
        <v>273</v>
      </c>
      <c r="H19" t="s">
        <v>274</v>
      </c>
    </row>
    <row r="20" spans="1:45">
      <c r="B20" t="s">
        <v>31</v>
      </c>
      <c r="E20" t="s">
        <v>275</v>
      </c>
      <c r="H20" t="s">
        <v>1253</v>
      </c>
    </row>
    <row r="21" spans="1:45">
      <c r="B21" t="s">
        <v>31</v>
      </c>
      <c r="E21" t="s">
        <v>276</v>
      </c>
      <c r="H21" t="s">
        <v>1254</v>
      </c>
    </row>
    <row r="22" spans="1:45">
      <c r="B22" t="s">
        <v>31</v>
      </c>
      <c r="E22" t="s">
        <v>65</v>
      </c>
      <c r="F22" t="s">
        <v>1255</v>
      </c>
      <c r="H22" t="s">
        <v>1256</v>
      </c>
    </row>
    <row r="23" spans="1:45">
      <c r="B23" t="s">
        <v>31</v>
      </c>
      <c r="E23" t="s">
        <v>277</v>
      </c>
    </row>
    <row r="24" spans="1:45">
      <c r="A24" t="s">
        <v>235</v>
      </c>
      <c r="B24" t="s">
        <v>31</v>
      </c>
      <c r="E24" t="s">
        <v>278</v>
      </c>
      <c r="G24" t="s">
        <v>279</v>
      </c>
      <c r="AJ24" t="s">
        <v>280</v>
      </c>
      <c r="AP24" t="s">
        <v>281</v>
      </c>
      <c r="AS24" t="s">
        <v>282</v>
      </c>
    </row>
    <row r="25" spans="1:45">
      <c r="B25" t="s">
        <v>62</v>
      </c>
      <c r="O25" t="s">
        <v>283</v>
      </c>
      <c r="P25" t="s">
        <v>1257</v>
      </c>
    </row>
    <row r="26" spans="1:45">
      <c r="O26" t="s">
        <v>284</v>
      </c>
      <c r="P26" t="s">
        <v>1258</v>
      </c>
    </row>
    <row r="27" spans="1:45">
      <c r="B27" t="s">
        <v>62</v>
      </c>
      <c r="O27" t="s">
        <v>285</v>
      </c>
      <c r="P27" t="s">
        <v>1259</v>
      </c>
    </row>
    <row r="29" spans="1:45">
      <c r="B29" t="s">
        <v>1260</v>
      </c>
      <c r="P29" t="s">
        <v>286</v>
      </c>
    </row>
    <row r="30" spans="1:45">
      <c r="B30" t="s">
        <v>1261</v>
      </c>
    </row>
    <row r="31" spans="1:45">
      <c r="B31" t="s">
        <v>62</v>
      </c>
      <c r="AD31" t="s">
        <v>5883</v>
      </c>
      <c r="AF31" t="s">
        <v>5884</v>
      </c>
      <c r="AH31" t="s">
        <v>287</v>
      </c>
      <c r="AJ31" t="s">
        <v>288</v>
      </c>
      <c r="AL31" t="s">
        <v>289</v>
      </c>
      <c r="AN31" t="s">
        <v>290</v>
      </c>
      <c r="AP31" t="s">
        <v>291</v>
      </c>
    </row>
    <row r="32" spans="1:45">
      <c r="B32" t="s">
        <v>62</v>
      </c>
      <c r="P32" t="s">
        <v>292</v>
      </c>
      <c r="T32" t="s">
        <v>287</v>
      </c>
      <c r="V32" t="s">
        <v>287</v>
      </c>
      <c r="X32" t="s">
        <v>287</v>
      </c>
      <c r="Z32" t="s">
        <v>287</v>
      </c>
      <c r="AB32" t="s">
        <v>287</v>
      </c>
      <c r="AD32" t="s">
        <v>293</v>
      </c>
      <c r="AF32" t="s">
        <v>293</v>
      </c>
      <c r="AH32" t="s">
        <v>294</v>
      </c>
      <c r="AJ32" t="s">
        <v>1264</v>
      </c>
      <c r="AL32" t="s">
        <v>288</v>
      </c>
      <c r="AN32" t="s">
        <v>296</v>
      </c>
      <c r="AP32" t="s">
        <v>293</v>
      </c>
    </row>
    <row r="33" spans="1:58">
      <c r="A33" t="s">
        <v>297</v>
      </c>
      <c r="B33" t="s">
        <v>62</v>
      </c>
      <c r="L33" t="s">
        <v>65</v>
      </c>
      <c r="M33" t="s">
        <v>298</v>
      </c>
      <c r="N33" t="s">
        <v>255</v>
      </c>
      <c r="O33" t="s">
        <v>253</v>
      </c>
      <c r="P33" t="s">
        <v>299</v>
      </c>
      <c r="R33" t="s">
        <v>300</v>
      </c>
      <c r="T33" t="s">
        <v>301</v>
      </c>
      <c r="V33" t="s">
        <v>1265</v>
      </c>
      <c r="X33" t="s">
        <v>1266</v>
      </c>
      <c r="Z33" t="s">
        <v>1267</v>
      </c>
      <c r="AB33" t="s">
        <v>1268</v>
      </c>
      <c r="AD33" t="s">
        <v>1269</v>
      </c>
      <c r="AF33" t="s">
        <v>1270</v>
      </c>
      <c r="AH33" t="s">
        <v>1271</v>
      </c>
      <c r="AJ33" t="s">
        <v>1272</v>
      </c>
      <c r="AL33" t="s">
        <v>1273</v>
      </c>
      <c r="AN33" t="s">
        <v>1274</v>
      </c>
      <c r="AP33" t="s">
        <v>1274</v>
      </c>
      <c r="AS33" t="s">
        <v>305</v>
      </c>
    </row>
    <row r="34" spans="1:58">
      <c r="B34" t="s">
        <v>62</v>
      </c>
    </row>
    <row r="35" spans="1:58">
      <c r="B35" t="s">
        <v>62</v>
      </c>
      <c r="O35" t="s">
        <v>306</v>
      </c>
      <c r="P35" t="s">
        <v>307</v>
      </c>
    </row>
    <row r="36" spans="1:58">
      <c r="B36" t="s">
        <v>62</v>
      </c>
      <c r="R36" t="s">
        <v>5885</v>
      </c>
    </row>
    <row r="37" spans="1:58">
      <c r="B37" t="s">
        <v>62</v>
      </c>
    </row>
    <row r="38" spans="1:58">
      <c r="A38" t="s">
        <v>236</v>
      </c>
      <c r="B38" t="s">
        <v>62</v>
      </c>
      <c r="E38" t="s">
        <v>1276</v>
      </c>
      <c r="K38" t="s">
        <v>1277</v>
      </c>
      <c r="L38" t="s">
        <v>1278</v>
      </c>
      <c r="M38" t="s">
        <v>1279</v>
      </c>
      <c r="N38" t="s">
        <v>1280</v>
      </c>
      <c r="O38" t="s">
        <v>1281</v>
      </c>
      <c r="P38" t="s">
        <v>1281</v>
      </c>
      <c r="R38" t="s">
        <v>1282</v>
      </c>
      <c r="T38" t="s">
        <v>1283</v>
      </c>
      <c r="V38" t="s">
        <v>1284</v>
      </c>
      <c r="X38" t="s">
        <v>1285</v>
      </c>
      <c r="Z38" t="s">
        <v>1286</v>
      </c>
      <c r="AB38" t="s">
        <v>1287</v>
      </c>
      <c r="AD38" t="s">
        <v>1288</v>
      </c>
      <c r="AF38" t="s">
        <v>1289</v>
      </c>
      <c r="AH38" t="s">
        <v>5886</v>
      </c>
      <c r="AJ38" t="s">
        <v>1291</v>
      </c>
      <c r="AL38" t="s">
        <v>1292</v>
      </c>
      <c r="AN38" t="s">
        <v>1293</v>
      </c>
      <c r="AP38" t="s">
        <v>1294</v>
      </c>
      <c r="AQ38" t="s">
        <v>1295</v>
      </c>
    </row>
    <row r="39" spans="1:58">
      <c r="A39" t="s">
        <v>236</v>
      </c>
      <c r="B39" t="s">
        <v>1296</v>
      </c>
      <c r="K39" t="s">
        <v>1297</v>
      </c>
      <c r="L39" t="s">
        <v>1278</v>
      </c>
      <c r="M39" t="s">
        <v>1279</v>
      </c>
      <c r="N39" t="s">
        <v>1280</v>
      </c>
      <c r="O39" t="s">
        <v>1298</v>
      </c>
      <c r="P39" t="s">
        <v>1299</v>
      </c>
      <c r="R39" t="s">
        <v>1300</v>
      </c>
      <c r="T39" t="s">
        <v>1301</v>
      </c>
      <c r="V39" t="s">
        <v>1302</v>
      </c>
      <c r="X39" t="s">
        <v>1303</v>
      </c>
      <c r="Z39" t="s">
        <v>1304</v>
      </c>
      <c r="AB39" t="s">
        <v>1305</v>
      </c>
      <c r="AD39" t="s">
        <v>1306</v>
      </c>
      <c r="AF39" t="s">
        <v>1307</v>
      </c>
      <c r="AH39" t="s">
        <v>1308</v>
      </c>
      <c r="AJ39" t="s">
        <v>1309</v>
      </c>
      <c r="AL39" t="s">
        <v>1310</v>
      </c>
      <c r="AN39" t="s">
        <v>1311</v>
      </c>
      <c r="AP39" t="s">
        <v>1312</v>
      </c>
      <c r="AQ39" t="s">
        <v>1313</v>
      </c>
    </row>
    <row r="40" spans="1:58">
      <c r="A40" t="s">
        <v>311</v>
      </c>
      <c r="B40" t="s">
        <v>3062</v>
      </c>
      <c r="K40" t="s">
        <v>5887</v>
      </c>
      <c r="L40" t="s">
        <v>1278</v>
      </c>
      <c r="M40" t="s">
        <v>1279</v>
      </c>
      <c r="N40" t="s">
        <v>1280</v>
      </c>
      <c r="O40" t="s">
        <v>3064</v>
      </c>
      <c r="P40" t="s">
        <v>3065</v>
      </c>
      <c r="R40" t="s">
        <v>3066</v>
      </c>
      <c r="T40" t="s">
        <v>3067</v>
      </c>
      <c r="V40" t="s">
        <v>3068</v>
      </c>
      <c r="X40" t="s">
        <v>3069</v>
      </c>
      <c r="Z40" t="s">
        <v>3070</v>
      </c>
      <c r="AB40" t="s">
        <v>3071</v>
      </c>
      <c r="AD40" t="s">
        <v>3072</v>
      </c>
      <c r="AF40" t="s">
        <v>3073</v>
      </c>
      <c r="AH40" t="s">
        <v>3074</v>
      </c>
      <c r="AJ40" t="s">
        <v>3075</v>
      </c>
      <c r="AL40" t="s">
        <v>3076</v>
      </c>
      <c r="AN40" t="s">
        <v>3077</v>
      </c>
      <c r="AP40" t="s">
        <v>3078</v>
      </c>
      <c r="AQ40" t="s">
        <v>3079</v>
      </c>
    </row>
    <row r="41" spans="1:58">
      <c r="A41" t="s">
        <v>311</v>
      </c>
      <c r="B41" t="s">
        <v>3080</v>
      </c>
      <c r="K41" t="s">
        <v>3117</v>
      </c>
      <c r="L41" t="s">
        <v>1278</v>
      </c>
      <c r="M41" t="s">
        <v>1279</v>
      </c>
      <c r="N41" t="s">
        <v>1280</v>
      </c>
      <c r="O41" t="s">
        <v>3082</v>
      </c>
      <c r="P41" t="s">
        <v>3083</v>
      </c>
      <c r="R41" t="s">
        <v>3084</v>
      </c>
      <c r="T41" t="s">
        <v>3085</v>
      </c>
      <c r="V41" t="s">
        <v>3086</v>
      </c>
      <c r="X41" t="s">
        <v>3087</v>
      </c>
      <c r="Z41" t="s">
        <v>3088</v>
      </c>
      <c r="AB41" t="s">
        <v>3089</v>
      </c>
      <c r="AD41" t="s">
        <v>3090</v>
      </c>
      <c r="AF41" t="s">
        <v>3091</v>
      </c>
      <c r="AH41" t="s">
        <v>3092</v>
      </c>
      <c r="AJ41" t="s">
        <v>3093</v>
      </c>
      <c r="AL41" t="s">
        <v>3094</v>
      </c>
      <c r="AN41" t="s">
        <v>3095</v>
      </c>
      <c r="AP41" t="s">
        <v>3096</v>
      </c>
      <c r="AQ41" t="s">
        <v>3097</v>
      </c>
    </row>
    <row r="42" spans="1:58">
      <c r="A42" t="s">
        <v>311</v>
      </c>
      <c r="B42" t="s">
        <v>3098</v>
      </c>
      <c r="K42" t="s">
        <v>3134</v>
      </c>
      <c r="L42" t="s">
        <v>1278</v>
      </c>
      <c r="M42" t="s">
        <v>1279</v>
      </c>
      <c r="N42" t="s">
        <v>1280</v>
      </c>
      <c r="O42" t="s">
        <v>3100</v>
      </c>
      <c r="P42" t="s">
        <v>3101</v>
      </c>
      <c r="R42" t="s">
        <v>3102</v>
      </c>
      <c r="T42" t="s">
        <v>3103</v>
      </c>
      <c r="V42" t="s">
        <v>3104</v>
      </c>
      <c r="X42" t="s">
        <v>3105</v>
      </c>
      <c r="Z42" t="s">
        <v>3106</v>
      </c>
      <c r="AB42" t="s">
        <v>3107</v>
      </c>
      <c r="AD42" t="s">
        <v>3108</v>
      </c>
      <c r="AF42" t="s">
        <v>3109</v>
      </c>
      <c r="AH42" t="s">
        <v>3110</v>
      </c>
      <c r="AJ42" t="s">
        <v>3111</v>
      </c>
      <c r="AL42" t="s">
        <v>3112</v>
      </c>
      <c r="AN42" t="s">
        <v>3113</v>
      </c>
      <c r="AP42" t="s">
        <v>3114</v>
      </c>
      <c r="AQ42" t="s">
        <v>3115</v>
      </c>
    </row>
    <row r="43" spans="1:58">
      <c r="A43" t="s">
        <v>311</v>
      </c>
      <c r="B43" t="s">
        <v>3116</v>
      </c>
      <c r="K43" t="s">
        <v>3146</v>
      </c>
      <c r="L43" t="s">
        <v>1278</v>
      </c>
      <c r="M43" t="s">
        <v>1279</v>
      </c>
      <c r="N43" t="s">
        <v>1280</v>
      </c>
      <c r="O43" t="s">
        <v>3118</v>
      </c>
      <c r="P43" t="s">
        <v>3119</v>
      </c>
      <c r="R43" t="s">
        <v>3120</v>
      </c>
      <c r="T43" t="s">
        <v>3121</v>
      </c>
      <c r="V43" t="s">
        <v>3122</v>
      </c>
      <c r="X43" t="s">
        <v>3123</v>
      </c>
      <c r="Z43" t="s">
        <v>3124</v>
      </c>
      <c r="AB43" t="s">
        <v>3125</v>
      </c>
      <c r="AD43" t="s">
        <v>3126</v>
      </c>
      <c r="AF43" t="s">
        <v>3127</v>
      </c>
      <c r="AH43" t="s">
        <v>3128</v>
      </c>
      <c r="AJ43" t="s">
        <v>3129</v>
      </c>
      <c r="AL43" t="s">
        <v>3130</v>
      </c>
      <c r="AN43" t="s">
        <v>3131</v>
      </c>
      <c r="AP43" t="s">
        <v>3132</v>
      </c>
      <c r="AQ43" t="s">
        <v>3133</v>
      </c>
    </row>
    <row r="44" spans="1:58">
      <c r="A44" t="s">
        <v>311</v>
      </c>
      <c r="B44" t="s">
        <v>1323</v>
      </c>
      <c r="K44" t="s">
        <v>3163</v>
      </c>
      <c r="L44" t="s">
        <v>1278</v>
      </c>
      <c r="M44" t="s">
        <v>1279</v>
      </c>
      <c r="N44" t="s">
        <v>1280</v>
      </c>
      <c r="O44" t="s">
        <v>3135</v>
      </c>
      <c r="P44" t="s">
        <v>1327</v>
      </c>
      <c r="R44" t="s">
        <v>1328</v>
      </c>
      <c r="T44" t="s">
        <v>3136</v>
      </c>
      <c r="V44" t="s">
        <v>3137</v>
      </c>
      <c r="X44" t="s">
        <v>3138</v>
      </c>
      <c r="Z44" t="s">
        <v>3139</v>
      </c>
      <c r="AB44" t="s">
        <v>3140</v>
      </c>
      <c r="AD44" t="s">
        <v>3141</v>
      </c>
      <c r="AF44" t="s">
        <v>3142</v>
      </c>
      <c r="AH44" t="s">
        <v>3143</v>
      </c>
      <c r="AJ44" t="s">
        <v>1337</v>
      </c>
      <c r="AL44" t="s">
        <v>1338</v>
      </c>
      <c r="AN44" t="s">
        <v>3144</v>
      </c>
      <c r="AP44" t="s">
        <v>1340</v>
      </c>
      <c r="AQ44" t="s">
        <v>1341</v>
      </c>
    </row>
    <row r="45" spans="1:58">
      <c r="B45" t="s">
        <v>62</v>
      </c>
    </row>
    <row r="46" spans="1:58">
      <c r="B46" t="s">
        <v>31</v>
      </c>
      <c r="E46" t="s">
        <v>1314</v>
      </c>
    </row>
    <row r="47" spans="1:58">
      <c r="B47" t="s">
        <v>31</v>
      </c>
      <c r="I47" t="s">
        <v>5888</v>
      </c>
    </row>
    <row r="48" spans="1:58">
      <c r="B48" t="s">
        <v>5889</v>
      </c>
      <c r="I48" t="s">
        <v>5890</v>
      </c>
      <c r="R48" t="s">
        <v>5891</v>
      </c>
      <c r="AU48" t="s">
        <v>301</v>
      </c>
      <c r="AV48" t="s">
        <v>1319</v>
      </c>
      <c r="AW48" t="s">
        <v>1320</v>
      </c>
      <c r="AX48" t="s">
        <v>1321</v>
      </c>
      <c r="AY48" t="s">
        <v>1322</v>
      </c>
      <c r="AZ48" t="s">
        <v>327</v>
      </c>
      <c r="BA48" t="s">
        <v>328</v>
      </c>
      <c r="BB48" t="s">
        <v>329</v>
      </c>
      <c r="BC48" t="s">
        <v>330</v>
      </c>
      <c r="BD48" t="s">
        <v>289</v>
      </c>
      <c r="BE48" t="s">
        <v>331</v>
      </c>
      <c r="BF48" t="s">
        <v>332</v>
      </c>
    </row>
    <row r="49" spans="1:58">
      <c r="A49" t="s">
        <v>236</v>
      </c>
      <c r="B49" t="s">
        <v>3215</v>
      </c>
      <c r="I49" t="s">
        <v>5892</v>
      </c>
      <c r="K49" t="s">
        <v>5893</v>
      </c>
      <c r="L49" t="s">
        <v>1278</v>
      </c>
      <c r="M49" t="s">
        <v>1279</v>
      </c>
      <c r="N49" t="s">
        <v>1280</v>
      </c>
      <c r="O49" t="s">
        <v>5894</v>
      </c>
      <c r="P49" t="s">
        <v>3218</v>
      </c>
      <c r="R49" t="s">
        <v>3219</v>
      </c>
      <c r="T49" t="s">
        <v>5895</v>
      </c>
      <c r="V49" t="s">
        <v>5896</v>
      </c>
      <c r="X49" t="s">
        <v>5897</v>
      </c>
      <c r="Z49" t="s">
        <v>5898</v>
      </c>
      <c r="AB49" t="s">
        <v>5899</v>
      </c>
      <c r="AD49" t="s">
        <v>5900</v>
      </c>
      <c r="AF49" t="s">
        <v>5901</v>
      </c>
      <c r="AH49" t="s">
        <v>5902</v>
      </c>
      <c r="AJ49" t="s">
        <v>3228</v>
      </c>
      <c r="AL49" t="s">
        <v>3229</v>
      </c>
      <c r="AN49" t="s">
        <v>5903</v>
      </c>
      <c r="AP49" t="s">
        <v>3231</v>
      </c>
      <c r="AQ49" t="s">
        <v>1372</v>
      </c>
    </row>
    <row r="50" spans="1:58">
      <c r="B50" t="s">
        <v>5889</v>
      </c>
      <c r="I50" t="s">
        <v>5904</v>
      </c>
    </row>
    <row r="51" spans="1:58">
      <c r="B51" t="s">
        <v>3250</v>
      </c>
      <c r="I51" t="s">
        <v>5905</v>
      </c>
      <c r="R51" t="s">
        <v>150</v>
      </c>
      <c r="T51" t="s">
        <v>5906</v>
      </c>
      <c r="V51" t="s">
        <v>5907</v>
      </c>
      <c r="X51" t="s">
        <v>5908</v>
      </c>
      <c r="Z51" t="s">
        <v>5909</v>
      </c>
      <c r="AB51" t="s">
        <v>5910</v>
      </c>
      <c r="AD51" t="s">
        <v>5911</v>
      </c>
      <c r="AF51" t="s">
        <v>5912</v>
      </c>
      <c r="AH51" t="s">
        <v>5913</v>
      </c>
      <c r="AJ51" t="s">
        <v>5914</v>
      </c>
      <c r="AL51" t="s">
        <v>5915</v>
      </c>
      <c r="AN51" t="s">
        <v>5916</v>
      </c>
      <c r="AP51" t="s">
        <v>5917</v>
      </c>
      <c r="AQ51" t="s">
        <v>3267</v>
      </c>
      <c r="AU51" t="s">
        <v>5906</v>
      </c>
      <c r="AV51" t="s">
        <v>5907</v>
      </c>
      <c r="AW51" t="s">
        <v>5908</v>
      </c>
      <c r="AX51" t="s">
        <v>5909</v>
      </c>
      <c r="AY51" t="s">
        <v>5910</v>
      </c>
      <c r="AZ51" t="s">
        <v>5911</v>
      </c>
      <c r="BA51" t="s">
        <v>5912</v>
      </c>
      <c r="BB51" t="s">
        <v>5913</v>
      </c>
      <c r="BC51" t="s">
        <v>5914</v>
      </c>
      <c r="BD51" t="s">
        <v>5915</v>
      </c>
      <c r="BE51" t="s">
        <v>5916</v>
      </c>
      <c r="BF51" t="s">
        <v>5917</v>
      </c>
    </row>
    <row r="52" spans="1:58">
      <c r="B52" t="s">
        <v>5889</v>
      </c>
      <c r="I52" t="s">
        <v>5918</v>
      </c>
    </row>
    <row r="53" spans="1:58">
      <c r="B53" t="s">
        <v>62</v>
      </c>
    </row>
    <row r="54" spans="1:58">
      <c r="B54" t="s">
        <v>62</v>
      </c>
      <c r="R54" t="s">
        <v>1359</v>
      </c>
      <c r="T54" t="s">
        <v>5919</v>
      </c>
      <c r="V54" t="s">
        <v>5920</v>
      </c>
      <c r="X54" t="s">
        <v>5921</v>
      </c>
      <c r="Z54" t="s">
        <v>5922</v>
      </c>
      <c r="AB54" t="s">
        <v>5923</v>
      </c>
      <c r="AD54" t="s">
        <v>5924</v>
      </c>
      <c r="AF54" t="s">
        <v>5925</v>
      </c>
      <c r="AH54" t="s">
        <v>5926</v>
      </c>
      <c r="AJ54" t="s">
        <v>5927</v>
      </c>
      <c r="AL54" t="s">
        <v>5928</v>
      </c>
      <c r="AN54" t="s">
        <v>5929</v>
      </c>
      <c r="AP54" t="s">
        <v>5930</v>
      </c>
      <c r="AQ54" t="s">
        <v>3315</v>
      </c>
    </row>
    <row r="55" spans="1:58">
      <c r="B55" t="s">
        <v>62</v>
      </c>
    </row>
    <row r="56" spans="1:58">
      <c r="B56" t="s">
        <v>5931</v>
      </c>
      <c r="E56" t="s">
        <v>1374</v>
      </c>
      <c r="R56" t="s">
        <v>335</v>
      </c>
    </row>
    <row r="57" spans="1:58">
      <c r="B57" t="s">
        <v>31</v>
      </c>
    </row>
    <row r="58" spans="1:58">
      <c r="A58" t="s">
        <v>236</v>
      </c>
      <c r="B58" t="s">
        <v>5932</v>
      </c>
      <c r="K58" t="s">
        <v>5933</v>
      </c>
      <c r="L58" t="s">
        <v>1278</v>
      </c>
      <c r="M58" t="s">
        <v>1279</v>
      </c>
      <c r="N58" t="s">
        <v>1280</v>
      </c>
      <c r="O58" t="s">
        <v>5934</v>
      </c>
      <c r="P58" t="s">
        <v>5935</v>
      </c>
      <c r="R58" t="s">
        <v>5936</v>
      </c>
      <c r="T58" t="s">
        <v>5937</v>
      </c>
      <c r="V58" t="s">
        <v>5938</v>
      </c>
      <c r="X58" t="s">
        <v>5939</v>
      </c>
      <c r="Z58" t="s">
        <v>5940</v>
      </c>
      <c r="AB58" t="s">
        <v>5941</v>
      </c>
      <c r="AD58" t="s">
        <v>5942</v>
      </c>
      <c r="AF58" t="s">
        <v>5943</v>
      </c>
      <c r="AH58" t="s">
        <v>5944</v>
      </c>
      <c r="AJ58" t="s">
        <v>830</v>
      </c>
      <c r="AL58" t="s">
        <v>5945</v>
      </c>
      <c r="AN58" t="s">
        <v>5946</v>
      </c>
      <c r="AP58" t="s">
        <v>5947</v>
      </c>
      <c r="AQ58" t="s">
        <v>5948</v>
      </c>
    </row>
    <row r="59" spans="1:58">
      <c r="B59" t="s">
        <v>31</v>
      </c>
    </row>
    <row r="60" spans="1:58">
      <c r="B60" t="s">
        <v>5931</v>
      </c>
      <c r="R60" t="s">
        <v>1392</v>
      </c>
      <c r="T60" t="s">
        <v>5949</v>
      </c>
      <c r="V60" t="s">
        <v>5950</v>
      </c>
      <c r="X60" t="s">
        <v>5951</v>
      </c>
      <c r="Z60" t="s">
        <v>5952</v>
      </c>
      <c r="AB60" t="s">
        <v>5953</v>
      </c>
      <c r="AD60" t="s">
        <v>5954</v>
      </c>
      <c r="AF60" t="s">
        <v>5955</v>
      </c>
      <c r="AH60" t="s">
        <v>5956</v>
      </c>
      <c r="AJ60" t="s">
        <v>5957</v>
      </c>
      <c r="AL60" t="s">
        <v>5958</v>
      </c>
      <c r="AN60" t="s">
        <v>5959</v>
      </c>
      <c r="AP60" t="s">
        <v>5960</v>
      </c>
      <c r="AQ60" t="s">
        <v>5961</v>
      </c>
    </row>
    <row r="61" spans="1:58">
      <c r="B61" t="s">
        <v>5962</v>
      </c>
    </row>
    <row r="62" spans="1:58">
      <c r="B62" t="s">
        <v>3317</v>
      </c>
      <c r="R62" t="s">
        <v>1408</v>
      </c>
      <c r="T62" t="s">
        <v>5963</v>
      </c>
      <c r="V62" t="s">
        <v>5964</v>
      </c>
      <c r="X62" t="s">
        <v>5965</v>
      </c>
      <c r="Z62" t="s">
        <v>5966</v>
      </c>
      <c r="AB62" t="s">
        <v>5967</v>
      </c>
      <c r="AD62" t="s">
        <v>5968</v>
      </c>
      <c r="AF62" t="s">
        <v>5969</v>
      </c>
      <c r="AH62" t="s">
        <v>5970</v>
      </c>
      <c r="AJ62" t="s">
        <v>5971</v>
      </c>
      <c r="AL62" t="s">
        <v>5972</v>
      </c>
      <c r="AN62" t="s">
        <v>5973</v>
      </c>
      <c r="AP62" t="s">
        <v>5974</v>
      </c>
      <c r="AQ62" t="s">
        <v>5975</v>
      </c>
    </row>
    <row r="63" spans="1:58">
      <c r="B63" t="s">
        <v>5976</v>
      </c>
    </row>
    <row r="64" spans="1:58">
      <c r="B64" t="s">
        <v>62</v>
      </c>
      <c r="R64" t="s">
        <v>1423</v>
      </c>
    </row>
    <row r="65" spans="1:58">
      <c r="B65" t="s">
        <v>62</v>
      </c>
    </row>
    <row r="66" spans="1:58">
      <c r="B66" t="s">
        <v>3400</v>
      </c>
      <c r="R66" t="s">
        <v>1425</v>
      </c>
    </row>
    <row r="67" spans="1:58">
      <c r="B67" t="s">
        <v>31</v>
      </c>
      <c r="E67" t="s">
        <v>1426</v>
      </c>
      <c r="H67" t="s">
        <v>336</v>
      </c>
    </row>
    <row r="68" spans="1:58">
      <c r="A68" t="s">
        <v>236</v>
      </c>
      <c r="B68" t="s">
        <v>3370</v>
      </c>
      <c r="K68" t="s">
        <v>5977</v>
      </c>
      <c r="L68" t="s">
        <v>1278</v>
      </c>
      <c r="M68" t="s">
        <v>1279</v>
      </c>
      <c r="N68" t="s">
        <v>1280</v>
      </c>
      <c r="O68" t="s">
        <v>5978</v>
      </c>
      <c r="P68" t="s">
        <v>3373</v>
      </c>
      <c r="R68" t="s">
        <v>3374</v>
      </c>
      <c r="T68" t="s">
        <v>5979</v>
      </c>
      <c r="V68" t="s">
        <v>5980</v>
      </c>
      <c r="X68" t="s">
        <v>5981</v>
      </c>
      <c r="Z68" t="s">
        <v>5982</v>
      </c>
      <c r="AB68" t="s">
        <v>5983</v>
      </c>
      <c r="AD68" t="s">
        <v>5984</v>
      </c>
      <c r="AF68" t="s">
        <v>5985</v>
      </c>
      <c r="AH68" t="s">
        <v>5986</v>
      </c>
      <c r="AJ68" t="s">
        <v>830</v>
      </c>
      <c r="AL68" t="s">
        <v>3383</v>
      </c>
      <c r="AN68" t="s">
        <v>5987</v>
      </c>
      <c r="AP68" t="s">
        <v>3385</v>
      </c>
      <c r="AQ68" t="s">
        <v>3386</v>
      </c>
    </row>
    <row r="69" spans="1:58">
      <c r="B69" t="s">
        <v>3400</v>
      </c>
    </row>
    <row r="70" spans="1:58">
      <c r="B70" t="s">
        <v>3369</v>
      </c>
      <c r="R70" t="s">
        <v>5988</v>
      </c>
      <c r="T70" t="s">
        <v>5989</v>
      </c>
      <c r="V70" t="s">
        <v>5990</v>
      </c>
      <c r="X70" t="s">
        <v>5991</v>
      </c>
      <c r="Z70" t="s">
        <v>5992</v>
      </c>
      <c r="AB70" t="s">
        <v>5993</v>
      </c>
      <c r="AD70" t="s">
        <v>5994</v>
      </c>
      <c r="AF70" t="s">
        <v>5995</v>
      </c>
      <c r="AH70" t="s">
        <v>5996</v>
      </c>
      <c r="AJ70" t="s">
        <v>5997</v>
      </c>
      <c r="AL70" t="s">
        <v>5998</v>
      </c>
      <c r="AN70" t="s">
        <v>5999</v>
      </c>
      <c r="AP70" t="s">
        <v>6000</v>
      </c>
      <c r="AQ70" t="s">
        <v>3399</v>
      </c>
    </row>
    <row r="71" spans="1:58">
      <c r="B71" t="s">
        <v>3400</v>
      </c>
    </row>
    <row r="72" spans="1:58">
      <c r="B72" t="s">
        <v>31</v>
      </c>
      <c r="E72" t="s">
        <v>1426</v>
      </c>
      <c r="H72" t="s">
        <v>364</v>
      </c>
      <c r="AH72" t="s">
        <v>6001</v>
      </c>
    </row>
    <row r="73" spans="1:58">
      <c r="B73" t="s">
        <v>31</v>
      </c>
    </row>
    <row r="74" spans="1:58">
      <c r="B74" t="s">
        <v>31</v>
      </c>
      <c r="H74" t="s">
        <v>365</v>
      </c>
      <c r="I74" t="s">
        <v>6002</v>
      </c>
    </row>
    <row r="75" spans="1:58">
      <c r="B75" t="s">
        <v>3417</v>
      </c>
      <c r="I75" t="s">
        <v>6003</v>
      </c>
      <c r="R75" t="s">
        <v>6004</v>
      </c>
      <c r="AU75" t="s">
        <v>301</v>
      </c>
      <c r="AV75" t="s">
        <v>1319</v>
      </c>
      <c r="AW75" t="s">
        <v>1320</v>
      </c>
      <c r="AX75" t="s">
        <v>1321</v>
      </c>
      <c r="AY75" t="s">
        <v>1322</v>
      </c>
      <c r="AZ75" t="s">
        <v>327</v>
      </c>
      <c r="BA75" t="s">
        <v>328</v>
      </c>
      <c r="BB75" t="s">
        <v>329</v>
      </c>
      <c r="BC75" t="s">
        <v>330</v>
      </c>
      <c r="BD75" t="s">
        <v>289</v>
      </c>
      <c r="BE75" t="s">
        <v>331</v>
      </c>
      <c r="BF75" t="s">
        <v>332</v>
      </c>
    </row>
    <row r="76" spans="1:58">
      <c r="A76" t="s">
        <v>236</v>
      </c>
      <c r="B76" t="s">
        <v>6005</v>
      </c>
      <c r="I76" t="s">
        <v>6006</v>
      </c>
      <c r="K76" t="s">
        <v>6007</v>
      </c>
      <c r="L76" t="s">
        <v>1278</v>
      </c>
      <c r="M76" t="s">
        <v>1279</v>
      </c>
      <c r="N76" t="s">
        <v>1280</v>
      </c>
      <c r="O76" t="s">
        <v>6008</v>
      </c>
      <c r="P76" t="s">
        <v>6009</v>
      </c>
      <c r="R76" t="s">
        <v>6010</v>
      </c>
      <c r="T76" t="s">
        <v>6011</v>
      </c>
      <c r="V76" t="s">
        <v>6012</v>
      </c>
      <c r="X76" t="s">
        <v>6013</v>
      </c>
      <c r="Z76" t="s">
        <v>6014</v>
      </c>
      <c r="AB76" t="s">
        <v>6015</v>
      </c>
      <c r="AD76" t="s">
        <v>6016</v>
      </c>
      <c r="AF76" t="s">
        <v>6017</v>
      </c>
      <c r="AH76" t="s">
        <v>6018</v>
      </c>
      <c r="AJ76" t="s">
        <v>830</v>
      </c>
      <c r="AL76" t="s">
        <v>6019</v>
      </c>
      <c r="AN76" t="s">
        <v>6020</v>
      </c>
      <c r="AP76" t="s">
        <v>6021</v>
      </c>
      <c r="AQ76" t="s">
        <v>6022</v>
      </c>
    </row>
    <row r="77" spans="1:58">
      <c r="B77" t="s">
        <v>31</v>
      </c>
      <c r="I77" t="s">
        <v>6023</v>
      </c>
    </row>
    <row r="78" spans="1:58">
      <c r="B78" t="s">
        <v>3417</v>
      </c>
      <c r="I78" t="s">
        <v>6024</v>
      </c>
      <c r="R78" t="s">
        <v>6025</v>
      </c>
      <c r="T78" t="s">
        <v>6026</v>
      </c>
      <c r="V78" t="s">
        <v>6027</v>
      </c>
      <c r="X78" t="s">
        <v>6028</v>
      </c>
      <c r="Z78" t="s">
        <v>6029</v>
      </c>
      <c r="AB78" t="s">
        <v>6030</v>
      </c>
      <c r="AD78" t="s">
        <v>6031</v>
      </c>
      <c r="AF78" t="s">
        <v>6032</v>
      </c>
      <c r="AH78" t="s">
        <v>6033</v>
      </c>
      <c r="AJ78" t="s">
        <v>6034</v>
      </c>
      <c r="AL78" t="s">
        <v>6035</v>
      </c>
      <c r="AN78" t="s">
        <v>6036</v>
      </c>
      <c r="AP78" t="s">
        <v>6037</v>
      </c>
      <c r="AQ78" t="s">
        <v>3433</v>
      </c>
      <c r="AU78" t="s">
        <v>6038</v>
      </c>
      <c r="AV78" t="s">
        <v>6039</v>
      </c>
      <c r="AW78" t="s">
        <v>6040</v>
      </c>
      <c r="AX78" t="s">
        <v>6041</v>
      </c>
      <c r="AY78" t="s">
        <v>6042</v>
      </c>
      <c r="AZ78" t="s">
        <v>6043</v>
      </c>
      <c r="BA78" t="s">
        <v>6044</v>
      </c>
      <c r="BB78" t="s">
        <v>6045</v>
      </c>
      <c r="BC78" t="s">
        <v>6046</v>
      </c>
      <c r="BD78" t="s">
        <v>6047</v>
      </c>
      <c r="BE78" t="s">
        <v>6048</v>
      </c>
      <c r="BF78" t="s">
        <v>6049</v>
      </c>
    </row>
    <row r="79" spans="1:58">
      <c r="B79" t="s">
        <v>6050</v>
      </c>
      <c r="I79" t="s">
        <v>6051</v>
      </c>
    </row>
    <row r="80" spans="1:58">
      <c r="B80" t="s">
        <v>31</v>
      </c>
    </row>
    <row r="81" spans="1:43">
      <c r="B81" t="s">
        <v>31</v>
      </c>
      <c r="R81" t="s">
        <v>437</v>
      </c>
      <c r="T81" t="s">
        <v>6052</v>
      </c>
      <c r="V81" t="s">
        <v>6053</v>
      </c>
      <c r="X81" t="s">
        <v>6054</v>
      </c>
      <c r="Z81" t="s">
        <v>6055</v>
      </c>
      <c r="AB81" t="s">
        <v>6056</v>
      </c>
      <c r="AD81" t="s">
        <v>6057</v>
      </c>
      <c r="AF81" t="s">
        <v>6058</v>
      </c>
      <c r="AH81" t="s">
        <v>6059</v>
      </c>
      <c r="AJ81" t="s">
        <v>6060</v>
      </c>
      <c r="AL81" t="s">
        <v>6061</v>
      </c>
      <c r="AN81" t="s">
        <v>6062</v>
      </c>
      <c r="AP81" t="s">
        <v>6063</v>
      </c>
    </row>
    <row r="82" spans="1:43">
      <c r="B82" t="s">
        <v>31</v>
      </c>
      <c r="E82" t="s">
        <v>438</v>
      </c>
      <c r="AH82" t="s">
        <v>6064</v>
      </c>
    </row>
    <row r="83" spans="1:43">
      <c r="B83" t="s">
        <v>1557</v>
      </c>
      <c r="R83" t="s">
        <v>439</v>
      </c>
    </row>
    <row r="84" spans="1:43">
      <c r="A84" t="s">
        <v>236</v>
      </c>
      <c r="B84" t="s">
        <v>1558</v>
      </c>
      <c r="K84" t="s">
        <v>6065</v>
      </c>
      <c r="L84" t="s">
        <v>1278</v>
      </c>
      <c r="M84" t="s">
        <v>1279</v>
      </c>
      <c r="N84" t="s">
        <v>1280</v>
      </c>
      <c r="O84" t="s">
        <v>6066</v>
      </c>
      <c r="P84" t="s">
        <v>1561</v>
      </c>
      <c r="R84" t="s">
        <v>1562</v>
      </c>
      <c r="T84" t="s">
        <v>6067</v>
      </c>
      <c r="V84" t="s">
        <v>6068</v>
      </c>
      <c r="X84" t="s">
        <v>6069</v>
      </c>
      <c r="Z84" t="s">
        <v>6070</v>
      </c>
      <c r="AB84" t="s">
        <v>6071</v>
      </c>
      <c r="AD84" t="s">
        <v>6072</v>
      </c>
      <c r="AF84" t="s">
        <v>6073</v>
      </c>
      <c r="AH84" t="s">
        <v>6074</v>
      </c>
      <c r="AJ84" t="s">
        <v>830</v>
      </c>
      <c r="AL84" t="s">
        <v>1571</v>
      </c>
      <c r="AN84" t="s">
        <v>6075</v>
      </c>
      <c r="AP84" t="s">
        <v>1573</v>
      </c>
      <c r="AQ84" t="s">
        <v>1574</v>
      </c>
    </row>
    <row r="85" spans="1:43">
      <c r="B85" t="s">
        <v>31</v>
      </c>
    </row>
    <row r="86" spans="1:43">
      <c r="B86" t="s">
        <v>1557</v>
      </c>
      <c r="R86" t="s">
        <v>440</v>
      </c>
      <c r="T86" t="s">
        <v>1575</v>
      </c>
      <c r="V86" t="s">
        <v>1576</v>
      </c>
      <c r="X86" t="s">
        <v>1577</v>
      </c>
      <c r="Z86" t="s">
        <v>1578</v>
      </c>
      <c r="AB86" t="s">
        <v>1579</v>
      </c>
      <c r="AD86" t="s">
        <v>1580</v>
      </c>
      <c r="AF86" t="s">
        <v>1581</v>
      </c>
      <c r="AH86" t="s">
        <v>1582</v>
      </c>
      <c r="AJ86" t="s">
        <v>1583</v>
      </c>
      <c r="AL86" t="s">
        <v>1584</v>
      </c>
      <c r="AN86" t="s">
        <v>1585</v>
      </c>
      <c r="AP86" t="s">
        <v>1586</v>
      </c>
      <c r="AQ86" t="s">
        <v>1587</v>
      </c>
    </row>
    <row r="87" spans="1:43">
      <c r="B87" t="s">
        <v>1588</v>
      </c>
      <c r="E87" t="s">
        <v>1556</v>
      </c>
      <c r="H87" t="s">
        <v>441</v>
      </c>
    </row>
    <row r="88" spans="1:43">
      <c r="B88" t="s">
        <v>3666</v>
      </c>
      <c r="R88" t="s">
        <v>166</v>
      </c>
    </row>
    <row r="89" spans="1:43">
      <c r="A89" t="s">
        <v>236</v>
      </c>
      <c r="B89" t="s">
        <v>3588</v>
      </c>
      <c r="K89" t="s">
        <v>6076</v>
      </c>
      <c r="L89" t="s">
        <v>1278</v>
      </c>
      <c r="M89" t="s">
        <v>1279</v>
      </c>
      <c r="N89" t="s">
        <v>1280</v>
      </c>
      <c r="O89" t="s">
        <v>6077</v>
      </c>
      <c r="P89" t="s">
        <v>3591</v>
      </c>
      <c r="R89" t="s">
        <v>6078</v>
      </c>
      <c r="T89" t="s">
        <v>6079</v>
      </c>
      <c r="V89" t="s">
        <v>6080</v>
      </c>
      <c r="X89" t="s">
        <v>6081</v>
      </c>
      <c r="Z89" t="s">
        <v>6082</v>
      </c>
      <c r="AB89" t="s">
        <v>6083</v>
      </c>
      <c r="AD89" t="s">
        <v>6084</v>
      </c>
      <c r="AF89" t="s">
        <v>6085</v>
      </c>
      <c r="AH89" t="s">
        <v>6086</v>
      </c>
      <c r="AJ89" t="s">
        <v>830</v>
      </c>
      <c r="AL89" t="s">
        <v>3601</v>
      </c>
      <c r="AN89" t="s">
        <v>6087</v>
      </c>
      <c r="AP89" t="s">
        <v>3603</v>
      </c>
      <c r="AQ89" t="s">
        <v>3604</v>
      </c>
    </row>
    <row r="90" spans="1:43">
      <c r="A90" t="s">
        <v>311</v>
      </c>
      <c r="B90" t="s">
        <v>3605</v>
      </c>
      <c r="K90" t="s">
        <v>6088</v>
      </c>
      <c r="L90" t="s">
        <v>1278</v>
      </c>
      <c r="M90" t="s">
        <v>1279</v>
      </c>
      <c r="N90" t="s">
        <v>1280</v>
      </c>
      <c r="O90" t="s">
        <v>6089</v>
      </c>
      <c r="P90" t="s">
        <v>3608</v>
      </c>
      <c r="R90" t="s">
        <v>6090</v>
      </c>
      <c r="T90" t="s">
        <v>6091</v>
      </c>
      <c r="V90" t="s">
        <v>6092</v>
      </c>
      <c r="X90" t="s">
        <v>6093</v>
      </c>
      <c r="Z90" t="s">
        <v>6094</v>
      </c>
      <c r="AB90" t="s">
        <v>6095</v>
      </c>
      <c r="AD90" t="s">
        <v>6096</v>
      </c>
      <c r="AF90" t="s">
        <v>6097</v>
      </c>
      <c r="AH90" t="s">
        <v>6098</v>
      </c>
      <c r="AJ90" t="s">
        <v>830</v>
      </c>
      <c r="AL90" t="s">
        <v>3618</v>
      </c>
      <c r="AN90" t="s">
        <v>6099</v>
      </c>
      <c r="AP90" t="s">
        <v>3620</v>
      </c>
      <c r="AQ90" t="s">
        <v>3621</v>
      </c>
    </row>
    <row r="91" spans="1:43">
      <c r="A91" t="s">
        <v>311</v>
      </c>
      <c r="B91" t="s">
        <v>1607</v>
      </c>
      <c r="K91" t="s">
        <v>6100</v>
      </c>
      <c r="L91" t="s">
        <v>1278</v>
      </c>
      <c r="M91" t="s">
        <v>1279</v>
      </c>
      <c r="N91" t="s">
        <v>1280</v>
      </c>
      <c r="O91" t="s">
        <v>6101</v>
      </c>
      <c r="P91" t="s">
        <v>1610</v>
      </c>
      <c r="R91" t="s">
        <v>1611</v>
      </c>
      <c r="T91" t="s">
        <v>6102</v>
      </c>
      <c r="V91" t="s">
        <v>6103</v>
      </c>
      <c r="X91" t="s">
        <v>6104</v>
      </c>
      <c r="Z91" t="s">
        <v>6105</v>
      </c>
      <c r="AB91" t="s">
        <v>6106</v>
      </c>
      <c r="AD91" t="s">
        <v>6107</v>
      </c>
      <c r="AF91" t="s">
        <v>6108</v>
      </c>
      <c r="AH91" t="s">
        <v>6109</v>
      </c>
      <c r="AJ91" t="s">
        <v>830</v>
      </c>
      <c r="AL91" t="s">
        <v>1620</v>
      </c>
      <c r="AN91" t="s">
        <v>6110</v>
      </c>
      <c r="AP91" t="s">
        <v>1622</v>
      </c>
      <c r="AQ91" t="s">
        <v>1623</v>
      </c>
    </row>
    <row r="92" spans="1:43">
      <c r="A92" t="s">
        <v>311</v>
      </c>
      <c r="B92" t="s">
        <v>3634</v>
      </c>
      <c r="K92" t="s">
        <v>6111</v>
      </c>
      <c r="L92" t="s">
        <v>1278</v>
      </c>
      <c r="M92" t="s">
        <v>1279</v>
      </c>
      <c r="N92" t="s">
        <v>1280</v>
      </c>
      <c r="O92" t="s">
        <v>6112</v>
      </c>
      <c r="P92" t="s">
        <v>3637</v>
      </c>
      <c r="R92" t="s">
        <v>6113</v>
      </c>
      <c r="T92" t="s">
        <v>6114</v>
      </c>
      <c r="V92" t="s">
        <v>6115</v>
      </c>
      <c r="X92" t="s">
        <v>6116</v>
      </c>
      <c r="Z92" t="s">
        <v>6117</v>
      </c>
      <c r="AB92" t="s">
        <v>6118</v>
      </c>
      <c r="AD92" t="s">
        <v>6119</v>
      </c>
      <c r="AF92" t="s">
        <v>6120</v>
      </c>
      <c r="AH92" t="s">
        <v>6121</v>
      </c>
      <c r="AJ92" t="s">
        <v>830</v>
      </c>
      <c r="AL92" t="s">
        <v>3647</v>
      </c>
      <c r="AN92" t="s">
        <v>6122</v>
      </c>
      <c r="AP92" t="s">
        <v>3649</v>
      </c>
      <c r="AQ92" t="s">
        <v>3650</v>
      </c>
    </row>
    <row r="93" spans="1:43">
      <c r="B93" t="s">
        <v>31</v>
      </c>
    </row>
    <row r="94" spans="1:43">
      <c r="B94" t="s">
        <v>3666</v>
      </c>
      <c r="R94" t="s">
        <v>444</v>
      </c>
      <c r="T94" t="s">
        <v>6123</v>
      </c>
      <c r="V94" t="s">
        <v>6124</v>
      </c>
      <c r="X94" t="s">
        <v>6125</v>
      </c>
      <c r="Z94" t="s">
        <v>6126</v>
      </c>
      <c r="AB94" t="s">
        <v>6127</v>
      </c>
      <c r="AD94" t="s">
        <v>6128</v>
      </c>
      <c r="AF94" t="s">
        <v>6129</v>
      </c>
      <c r="AH94" t="s">
        <v>6130</v>
      </c>
      <c r="AJ94" t="s">
        <v>6131</v>
      </c>
      <c r="AL94" t="s">
        <v>6132</v>
      </c>
      <c r="AN94" t="s">
        <v>6133</v>
      </c>
      <c r="AP94" t="s">
        <v>6134</v>
      </c>
      <c r="AQ94" t="s">
        <v>3682</v>
      </c>
    </row>
    <row r="95" spans="1:43">
      <c r="B95" t="s">
        <v>6135</v>
      </c>
    </row>
    <row r="96" spans="1:43">
      <c r="B96" t="s">
        <v>3699</v>
      </c>
      <c r="R96" t="s">
        <v>1590</v>
      </c>
      <c r="T96" t="s">
        <v>6136</v>
      </c>
      <c r="V96" t="s">
        <v>6137</v>
      </c>
      <c r="X96" t="s">
        <v>6138</v>
      </c>
      <c r="Z96" t="s">
        <v>6139</v>
      </c>
      <c r="AB96" t="s">
        <v>6140</v>
      </c>
      <c r="AD96" t="s">
        <v>6141</v>
      </c>
      <c r="AF96" t="s">
        <v>6142</v>
      </c>
      <c r="AH96" t="s">
        <v>6143</v>
      </c>
      <c r="AJ96" t="s">
        <v>6144</v>
      </c>
      <c r="AL96" t="s">
        <v>6145</v>
      </c>
      <c r="AN96" t="s">
        <v>6146</v>
      </c>
      <c r="AP96" t="s">
        <v>6147</v>
      </c>
      <c r="AQ96" t="s">
        <v>3715</v>
      </c>
    </row>
    <row r="97" spans="1:43">
      <c r="B97" t="s">
        <v>6148</v>
      </c>
      <c r="E97" t="s">
        <v>1556</v>
      </c>
      <c r="H97" t="s">
        <v>1605</v>
      </c>
    </row>
    <row r="98" spans="1:43">
      <c r="B98" t="s">
        <v>3783</v>
      </c>
      <c r="R98" t="s">
        <v>445</v>
      </c>
    </row>
    <row r="99" spans="1:43">
      <c r="A99" t="s">
        <v>236</v>
      </c>
      <c r="B99" t="s">
        <v>3749</v>
      </c>
      <c r="K99" t="s">
        <v>6149</v>
      </c>
      <c r="L99" t="s">
        <v>1278</v>
      </c>
      <c r="M99" t="s">
        <v>1279</v>
      </c>
      <c r="N99" t="s">
        <v>1280</v>
      </c>
      <c r="O99" t="s">
        <v>6150</v>
      </c>
      <c r="P99" t="s">
        <v>3752</v>
      </c>
      <c r="R99" t="s">
        <v>6151</v>
      </c>
      <c r="T99" t="s">
        <v>6152</v>
      </c>
      <c r="V99" t="s">
        <v>6153</v>
      </c>
      <c r="X99" t="s">
        <v>6154</v>
      </c>
      <c r="Z99" t="s">
        <v>6155</v>
      </c>
      <c r="AB99" t="s">
        <v>6156</v>
      </c>
      <c r="AD99" t="s">
        <v>6157</v>
      </c>
      <c r="AF99" t="s">
        <v>6158</v>
      </c>
      <c r="AH99" t="s">
        <v>6159</v>
      </c>
      <c r="AJ99" t="s">
        <v>830</v>
      </c>
      <c r="AL99" t="s">
        <v>3762</v>
      </c>
      <c r="AN99" t="s">
        <v>6160</v>
      </c>
      <c r="AP99" t="s">
        <v>3764</v>
      </c>
      <c r="AQ99" t="s">
        <v>3765</v>
      </c>
    </row>
    <row r="100" spans="1:43">
      <c r="B100" t="s">
        <v>31</v>
      </c>
    </row>
    <row r="101" spans="1:43">
      <c r="B101" t="s">
        <v>3783</v>
      </c>
      <c r="R101" t="s">
        <v>448</v>
      </c>
      <c r="T101" t="s">
        <v>6161</v>
      </c>
      <c r="V101" t="s">
        <v>6162</v>
      </c>
      <c r="X101" t="s">
        <v>6163</v>
      </c>
      <c r="Z101" t="s">
        <v>6164</v>
      </c>
      <c r="AB101" t="s">
        <v>6165</v>
      </c>
      <c r="AD101" t="s">
        <v>6166</v>
      </c>
      <c r="AF101" t="s">
        <v>6167</v>
      </c>
      <c r="AH101" t="s">
        <v>6168</v>
      </c>
      <c r="AJ101" t="s">
        <v>6169</v>
      </c>
      <c r="AL101" t="s">
        <v>6170</v>
      </c>
      <c r="AN101" t="s">
        <v>6171</v>
      </c>
      <c r="AP101" t="s">
        <v>6172</v>
      </c>
      <c r="AQ101" t="s">
        <v>3799</v>
      </c>
    </row>
    <row r="102" spans="1:43">
      <c r="B102" t="s">
        <v>6173</v>
      </c>
    </row>
    <row r="103" spans="1:43">
      <c r="B103" t="s">
        <v>62</v>
      </c>
      <c r="N103" t="s">
        <v>6174</v>
      </c>
      <c r="R103" t="s">
        <v>6175</v>
      </c>
      <c r="T103" t="s">
        <v>6176</v>
      </c>
      <c r="V103" t="s">
        <v>6177</v>
      </c>
      <c r="X103" t="s">
        <v>6178</v>
      </c>
      <c r="Z103" t="s">
        <v>6179</v>
      </c>
      <c r="AB103" t="s">
        <v>6180</v>
      </c>
      <c r="AD103" t="s">
        <v>6181</v>
      </c>
      <c r="AF103" t="s">
        <v>6182</v>
      </c>
      <c r="AH103" t="s">
        <v>6183</v>
      </c>
      <c r="AJ103" t="s">
        <v>6184</v>
      </c>
      <c r="AL103" t="s">
        <v>6185</v>
      </c>
      <c r="AN103" t="s">
        <v>6186</v>
      </c>
      <c r="AP103" t="s">
        <v>6187</v>
      </c>
      <c r="AQ103" t="s">
        <v>3814</v>
      </c>
    </row>
    <row r="104" spans="1:43">
      <c r="B104" t="s">
        <v>62</v>
      </c>
    </row>
    <row r="105" spans="1:43">
      <c r="B105" t="s">
        <v>6188</v>
      </c>
      <c r="R105" t="s">
        <v>1654</v>
      </c>
    </row>
    <row r="106" spans="1:43">
      <c r="B106" t="s">
        <v>62</v>
      </c>
      <c r="R106" t="s">
        <v>1655</v>
      </c>
      <c r="T106" t="s">
        <v>6189</v>
      </c>
      <c r="V106" t="s">
        <v>6190</v>
      </c>
      <c r="X106" t="s">
        <v>6191</v>
      </c>
      <c r="Z106" t="s">
        <v>6192</v>
      </c>
      <c r="AB106" t="s">
        <v>6193</v>
      </c>
      <c r="AD106" t="s">
        <v>6194</v>
      </c>
      <c r="AF106" t="s">
        <v>6195</v>
      </c>
      <c r="AH106" t="s">
        <v>6196</v>
      </c>
      <c r="AJ106" t="s">
        <v>6197</v>
      </c>
      <c r="AL106" t="s">
        <v>6198</v>
      </c>
      <c r="AN106" t="s">
        <v>6199</v>
      </c>
      <c r="AP106" t="s">
        <v>6200</v>
      </c>
      <c r="AQ106" t="s">
        <v>1710</v>
      </c>
    </row>
    <row r="107" spans="1:43">
      <c r="B107" t="s">
        <v>62</v>
      </c>
    </row>
    <row r="108" spans="1:43">
      <c r="B108" t="s">
        <v>31</v>
      </c>
    </row>
    <row r="109" spans="1:43">
      <c r="B109" t="s">
        <v>31</v>
      </c>
      <c r="T109" t="s">
        <v>6201</v>
      </c>
      <c r="V109" t="s">
        <v>6202</v>
      </c>
      <c r="X109" t="s">
        <v>6203</v>
      </c>
      <c r="Z109" t="s">
        <v>6204</v>
      </c>
      <c r="AB109" t="s">
        <v>6205</v>
      </c>
      <c r="AD109" t="s">
        <v>6206</v>
      </c>
      <c r="AF109" t="s">
        <v>6207</v>
      </c>
      <c r="AH109" t="s">
        <v>6208</v>
      </c>
      <c r="AJ109" t="s">
        <v>830</v>
      </c>
      <c r="AL109" t="s">
        <v>830</v>
      </c>
      <c r="AN109" t="s">
        <v>6209</v>
      </c>
      <c r="AP109" t="s">
        <v>6210</v>
      </c>
    </row>
    <row r="110" spans="1:43">
      <c r="B110" t="s">
        <v>6211</v>
      </c>
      <c r="E110" t="s">
        <v>451</v>
      </c>
      <c r="R110" t="s">
        <v>452</v>
      </c>
    </row>
    <row r="111" spans="1:43">
      <c r="B111" t="s">
        <v>6212</v>
      </c>
    </row>
    <row r="112" spans="1:43">
      <c r="A112" t="s">
        <v>236</v>
      </c>
      <c r="B112" t="s">
        <v>6213</v>
      </c>
      <c r="K112" t="s">
        <v>6214</v>
      </c>
      <c r="L112" t="s">
        <v>1278</v>
      </c>
      <c r="M112" t="s">
        <v>1279</v>
      </c>
      <c r="N112" t="s">
        <v>1280</v>
      </c>
      <c r="O112" t="s">
        <v>6215</v>
      </c>
      <c r="P112" t="s">
        <v>6216</v>
      </c>
      <c r="R112" t="s">
        <v>6217</v>
      </c>
      <c r="T112" t="s">
        <v>6218</v>
      </c>
      <c r="V112" t="s">
        <v>6219</v>
      </c>
      <c r="X112" t="s">
        <v>6220</v>
      </c>
      <c r="Z112" t="s">
        <v>6221</v>
      </c>
      <c r="AB112" t="s">
        <v>6222</v>
      </c>
      <c r="AD112" t="s">
        <v>6223</v>
      </c>
      <c r="AF112" t="s">
        <v>6224</v>
      </c>
      <c r="AH112" t="s">
        <v>6225</v>
      </c>
      <c r="AJ112" t="s">
        <v>830</v>
      </c>
      <c r="AL112" t="s">
        <v>6226</v>
      </c>
      <c r="AN112" t="s">
        <v>6227</v>
      </c>
      <c r="AP112" t="s">
        <v>6228</v>
      </c>
      <c r="AQ112" t="s">
        <v>6229</v>
      </c>
    </row>
    <row r="113" spans="1:43">
      <c r="A113" t="s">
        <v>311</v>
      </c>
      <c r="B113" t="s">
        <v>6230</v>
      </c>
      <c r="K113" t="s">
        <v>5661</v>
      </c>
      <c r="L113" t="s">
        <v>1278</v>
      </c>
      <c r="M113" t="s">
        <v>1279</v>
      </c>
      <c r="N113" t="s">
        <v>1280</v>
      </c>
      <c r="O113" t="s">
        <v>6231</v>
      </c>
      <c r="P113" t="s">
        <v>6232</v>
      </c>
      <c r="R113" t="s">
        <v>6233</v>
      </c>
      <c r="T113" t="s">
        <v>6234</v>
      </c>
      <c r="V113" t="s">
        <v>6235</v>
      </c>
      <c r="X113" t="s">
        <v>6236</v>
      </c>
      <c r="Z113" t="s">
        <v>6237</v>
      </c>
      <c r="AB113" t="s">
        <v>6238</v>
      </c>
      <c r="AD113" t="s">
        <v>6239</v>
      </c>
      <c r="AF113" t="s">
        <v>6240</v>
      </c>
      <c r="AH113" t="s">
        <v>6241</v>
      </c>
      <c r="AJ113" t="s">
        <v>830</v>
      </c>
      <c r="AL113" t="s">
        <v>6242</v>
      </c>
      <c r="AN113" t="s">
        <v>6243</v>
      </c>
      <c r="AP113" t="s">
        <v>6244</v>
      </c>
      <c r="AQ113" t="s">
        <v>1766</v>
      </c>
    </row>
    <row r="114" spans="1:43">
      <c r="A114" t="s">
        <v>311</v>
      </c>
      <c r="B114" t="s">
        <v>6245</v>
      </c>
      <c r="K114" t="s">
        <v>6246</v>
      </c>
      <c r="L114" t="s">
        <v>1278</v>
      </c>
      <c r="M114" t="s">
        <v>1279</v>
      </c>
      <c r="N114" t="s">
        <v>1280</v>
      </c>
      <c r="O114" t="s">
        <v>6247</v>
      </c>
      <c r="P114" t="s">
        <v>6248</v>
      </c>
      <c r="R114" t="s">
        <v>6249</v>
      </c>
      <c r="T114" t="s">
        <v>6250</v>
      </c>
      <c r="V114" t="s">
        <v>6251</v>
      </c>
      <c r="X114" t="s">
        <v>6252</v>
      </c>
      <c r="Z114" t="s">
        <v>6253</v>
      </c>
      <c r="AB114" t="s">
        <v>6254</v>
      </c>
      <c r="AD114" t="s">
        <v>6255</v>
      </c>
      <c r="AF114" t="s">
        <v>6256</v>
      </c>
      <c r="AH114" t="s">
        <v>6257</v>
      </c>
      <c r="AJ114" t="s">
        <v>830</v>
      </c>
      <c r="AL114" t="s">
        <v>6258</v>
      </c>
      <c r="AN114" t="s">
        <v>6259</v>
      </c>
      <c r="AP114" t="s">
        <v>6260</v>
      </c>
      <c r="AQ114" t="s">
        <v>1769</v>
      </c>
    </row>
    <row r="115" spans="1:43">
      <c r="A115" t="s">
        <v>311</v>
      </c>
      <c r="B115" t="s">
        <v>3869</v>
      </c>
      <c r="K115" t="s">
        <v>6261</v>
      </c>
      <c r="L115" t="s">
        <v>1278</v>
      </c>
      <c r="M115" t="s">
        <v>1279</v>
      </c>
      <c r="N115" t="s">
        <v>1280</v>
      </c>
      <c r="O115" t="s">
        <v>6262</v>
      </c>
      <c r="P115" t="s">
        <v>3873</v>
      </c>
      <c r="R115" t="s">
        <v>3874</v>
      </c>
      <c r="T115" t="s">
        <v>6263</v>
      </c>
      <c r="V115" t="s">
        <v>6264</v>
      </c>
      <c r="X115" t="s">
        <v>6265</v>
      </c>
      <c r="Z115" t="s">
        <v>6266</v>
      </c>
      <c r="AB115" t="s">
        <v>6267</v>
      </c>
      <c r="AD115" t="s">
        <v>6268</v>
      </c>
      <c r="AF115" t="s">
        <v>6269</v>
      </c>
      <c r="AH115" t="s">
        <v>6270</v>
      </c>
      <c r="AJ115" t="s">
        <v>830</v>
      </c>
      <c r="AL115" t="s">
        <v>3883</v>
      </c>
      <c r="AN115" t="s">
        <v>6271</v>
      </c>
      <c r="AP115" t="s">
        <v>3885</v>
      </c>
      <c r="AQ115" t="s">
        <v>1779</v>
      </c>
    </row>
    <row r="116" spans="1:43">
      <c r="B116" t="s">
        <v>31</v>
      </c>
    </row>
    <row r="117" spans="1:43">
      <c r="B117" t="s">
        <v>31</v>
      </c>
      <c r="T117" t="s">
        <v>6272</v>
      </c>
      <c r="V117" t="s">
        <v>6273</v>
      </c>
      <c r="X117" t="s">
        <v>6274</v>
      </c>
      <c r="Z117" t="s">
        <v>6275</v>
      </c>
      <c r="AB117" t="s">
        <v>6276</v>
      </c>
      <c r="AD117" t="s">
        <v>6277</v>
      </c>
      <c r="AF117" t="s">
        <v>6278</v>
      </c>
      <c r="AH117" t="s">
        <v>6279</v>
      </c>
      <c r="AJ117" t="s">
        <v>6280</v>
      </c>
      <c r="AL117" t="s">
        <v>6281</v>
      </c>
      <c r="AN117" t="s">
        <v>6282</v>
      </c>
      <c r="AP117" t="s">
        <v>6283</v>
      </c>
      <c r="AQ117" t="s">
        <v>3919</v>
      </c>
    </row>
    <row r="118" spans="1:43">
      <c r="A118" t="s">
        <v>236</v>
      </c>
      <c r="B118" t="s">
        <v>6211</v>
      </c>
      <c r="K118" t="s">
        <v>1711</v>
      </c>
      <c r="L118" t="s">
        <v>1278</v>
      </c>
      <c r="M118" t="s">
        <v>1279</v>
      </c>
      <c r="N118" t="s">
        <v>1280</v>
      </c>
      <c r="O118" t="s">
        <v>3924</v>
      </c>
      <c r="P118" t="s">
        <v>1713</v>
      </c>
      <c r="R118" t="s">
        <v>457</v>
      </c>
      <c r="T118" t="s">
        <v>6284</v>
      </c>
      <c r="V118" t="s">
        <v>6285</v>
      </c>
      <c r="X118" t="s">
        <v>6286</v>
      </c>
      <c r="Z118" t="s">
        <v>6287</v>
      </c>
      <c r="AB118" t="s">
        <v>6288</v>
      </c>
      <c r="AD118" t="s">
        <v>6289</v>
      </c>
      <c r="AF118" t="s">
        <v>6290</v>
      </c>
      <c r="AH118" t="s">
        <v>6291</v>
      </c>
      <c r="AJ118" t="s">
        <v>6292</v>
      </c>
      <c r="AL118" t="s">
        <v>3934</v>
      </c>
      <c r="AN118" t="s">
        <v>6293</v>
      </c>
      <c r="AP118" t="s">
        <v>6294</v>
      </c>
      <c r="AQ118" t="s">
        <v>1805</v>
      </c>
    </row>
    <row r="119" spans="1:43">
      <c r="B119" t="s">
        <v>1806</v>
      </c>
    </row>
    <row r="120" spans="1:43">
      <c r="B120" t="s">
        <v>6295</v>
      </c>
      <c r="R120" t="s">
        <v>458</v>
      </c>
      <c r="T120" t="s">
        <v>6296</v>
      </c>
      <c r="V120" t="s">
        <v>6297</v>
      </c>
      <c r="X120" t="s">
        <v>6298</v>
      </c>
      <c r="Z120" t="s">
        <v>6299</v>
      </c>
      <c r="AB120" t="s">
        <v>6300</v>
      </c>
      <c r="AD120" t="s">
        <v>6301</v>
      </c>
      <c r="AF120" t="s">
        <v>6302</v>
      </c>
      <c r="AH120" t="s">
        <v>6303</v>
      </c>
      <c r="AJ120" t="s">
        <v>6304</v>
      </c>
      <c r="AL120" t="s">
        <v>6305</v>
      </c>
      <c r="AN120" t="s">
        <v>6306</v>
      </c>
      <c r="AP120" t="s">
        <v>6307</v>
      </c>
      <c r="AQ120" t="s">
        <v>3971</v>
      </c>
    </row>
    <row r="121" spans="1:43">
      <c r="B121" t="s">
        <v>1806</v>
      </c>
    </row>
    <row r="122" spans="1:43">
      <c r="B122" t="s">
        <v>62</v>
      </c>
      <c r="R122" t="s">
        <v>1742</v>
      </c>
      <c r="T122" t="s">
        <v>6308</v>
      </c>
      <c r="V122" t="s">
        <v>6309</v>
      </c>
      <c r="X122" t="s">
        <v>6310</v>
      </c>
      <c r="Z122" t="s">
        <v>6311</v>
      </c>
      <c r="AB122" t="s">
        <v>6312</v>
      </c>
      <c r="AD122" t="s">
        <v>6313</v>
      </c>
      <c r="AF122" t="s">
        <v>6314</v>
      </c>
      <c r="AH122" t="s">
        <v>6315</v>
      </c>
      <c r="AJ122" t="s">
        <v>6316</v>
      </c>
      <c r="AL122" t="s">
        <v>6317</v>
      </c>
      <c r="AN122" t="s">
        <v>6318</v>
      </c>
      <c r="AP122" t="s">
        <v>6319</v>
      </c>
      <c r="AQ122" t="s">
        <v>4007</v>
      </c>
    </row>
    <row r="123" spans="1:43">
      <c r="B123" t="s">
        <v>62</v>
      </c>
    </row>
    <row r="124" spans="1:43">
      <c r="B124" t="s">
        <v>31</v>
      </c>
      <c r="O124" t="s">
        <v>459</v>
      </c>
      <c r="P124" t="s">
        <v>1756</v>
      </c>
      <c r="R124" t="s">
        <v>460</v>
      </c>
      <c r="T124" t="s">
        <v>6320</v>
      </c>
      <c r="V124" t="s">
        <v>6321</v>
      </c>
      <c r="X124" t="s">
        <v>6322</v>
      </c>
      <c r="Z124" t="s">
        <v>6323</v>
      </c>
      <c r="AB124" t="s">
        <v>6324</v>
      </c>
      <c r="AD124" t="s">
        <v>6325</v>
      </c>
      <c r="AF124" t="s">
        <v>6326</v>
      </c>
      <c r="AH124" t="s">
        <v>6327</v>
      </c>
      <c r="AJ124" t="s">
        <v>830</v>
      </c>
      <c r="AL124" t="s">
        <v>6328</v>
      </c>
      <c r="AN124" t="s">
        <v>830</v>
      </c>
      <c r="AP124" t="s">
        <v>830</v>
      </c>
      <c r="AQ124" t="s">
        <v>4042</v>
      </c>
    </row>
    <row r="125" spans="1:43">
      <c r="B125" t="s">
        <v>31</v>
      </c>
      <c r="R125" t="s">
        <v>461</v>
      </c>
      <c r="T125" t="s">
        <v>830</v>
      </c>
      <c r="V125" t="s">
        <v>830</v>
      </c>
      <c r="X125" t="s">
        <v>830</v>
      </c>
      <c r="Z125" t="s">
        <v>830</v>
      </c>
      <c r="AB125" t="s">
        <v>830</v>
      </c>
      <c r="AF125" t="s">
        <v>6329</v>
      </c>
      <c r="AH125" t="s">
        <v>6330</v>
      </c>
      <c r="AJ125" t="s">
        <v>830</v>
      </c>
      <c r="AN125" t="s">
        <v>830</v>
      </c>
      <c r="AP125" t="s">
        <v>830</v>
      </c>
      <c r="AQ125" t="s">
        <v>4059</v>
      </c>
    </row>
    <row r="126" spans="1:43">
      <c r="B126" t="s">
        <v>31</v>
      </c>
      <c r="R126" t="s">
        <v>462</v>
      </c>
      <c r="T126" t="s">
        <v>6331</v>
      </c>
      <c r="V126" t="s">
        <v>6332</v>
      </c>
      <c r="X126" t="s">
        <v>6333</v>
      </c>
      <c r="Z126" t="s">
        <v>6334</v>
      </c>
      <c r="AB126" t="s">
        <v>6335</v>
      </c>
      <c r="AD126" t="s">
        <v>6336</v>
      </c>
      <c r="AF126" t="s">
        <v>6337</v>
      </c>
      <c r="AH126" t="s">
        <v>6338</v>
      </c>
      <c r="AJ126" t="s">
        <v>830</v>
      </c>
      <c r="AL126" t="s">
        <v>6339</v>
      </c>
      <c r="AN126" t="s">
        <v>830</v>
      </c>
      <c r="AP126" t="s">
        <v>830</v>
      </c>
      <c r="AQ126" t="s">
        <v>4076</v>
      </c>
    </row>
    <row r="127" spans="1:43">
      <c r="B127" t="s">
        <v>62</v>
      </c>
      <c r="O127" t="s">
        <v>459</v>
      </c>
      <c r="P127" t="s">
        <v>1756</v>
      </c>
      <c r="R127" t="s">
        <v>1780</v>
      </c>
      <c r="T127" t="s">
        <v>6340</v>
      </c>
      <c r="V127" t="s">
        <v>6341</v>
      </c>
      <c r="X127" t="s">
        <v>6342</v>
      </c>
      <c r="Z127" t="s">
        <v>6343</v>
      </c>
      <c r="AB127" t="s">
        <v>6344</v>
      </c>
      <c r="AD127" t="s">
        <v>6345</v>
      </c>
      <c r="AF127" t="s">
        <v>6346</v>
      </c>
      <c r="AH127" t="s">
        <v>6347</v>
      </c>
      <c r="AJ127" t="s">
        <v>830</v>
      </c>
      <c r="AL127" t="s">
        <v>6348</v>
      </c>
      <c r="AN127" t="s">
        <v>830</v>
      </c>
      <c r="AP127" t="s">
        <v>6349</v>
      </c>
      <c r="AQ127" t="s">
        <v>4094</v>
      </c>
    </row>
    <row r="128" spans="1:43">
      <c r="B128" t="s">
        <v>62</v>
      </c>
    </row>
    <row r="129" spans="2:43">
      <c r="B129" t="s">
        <v>62</v>
      </c>
      <c r="R129" t="s">
        <v>1792</v>
      </c>
      <c r="T129" t="s">
        <v>6350</v>
      </c>
      <c r="V129" t="s">
        <v>6351</v>
      </c>
      <c r="X129" t="s">
        <v>6352</v>
      </c>
      <c r="Z129" t="s">
        <v>6353</v>
      </c>
      <c r="AB129" t="s">
        <v>6354</v>
      </c>
      <c r="AD129" t="s">
        <v>6355</v>
      </c>
      <c r="AF129" t="s">
        <v>6356</v>
      </c>
      <c r="AH129" t="s">
        <v>6357</v>
      </c>
      <c r="AJ129" t="s">
        <v>6358</v>
      </c>
      <c r="AL129" t="s">
        <v>6359</v>
      </c>
      <c r="AN129" t="s">
        <v>6360</v>
      </c>
      <c r="AP129" t="s">
        <v>6361</v>
      </c>
      <c r="AQ129" t="s">
        <v>4109</v>
      </c>
    </row>
    <row r="130" spans="2:43">
      <c r="B130" t="s">
        <v>1882</v>
      </c>
    </row>
    <row r="131" spans="2:43">
      <c r="B131" t="s">
        <v>6362</v>
      </c>
      <c r="AQ131" t="s">
        <v>6363</v>
      </c>
    </row>
    <row r="132" spans="2:43">
      <c r="B132" t="s">
        <v>6364</v>
      </c>
    </row>
    <row r="133" spans="2:43">
      <c r="B133" t="s">
        <v>6365</v>
      </c>
      <c r="T133" t="s">
        <v>301</v>
      </c>
      <c r="V133" t="s">
        <v>1811</v>
      </c>
      <c r="X133" t="s">
        <v>1811</v>
      </c>
      <c r="Z133" t="s">
        <v>1811</v>
      </c>
      <c r="AB133" t="s">
        <v>1812</v>
      </c>
      <c r="AD133" t="s">
        <v>1813</v>
      </c>
      <c r="AF133" t="s">
        <v>1814</v>
      </c>
      <c r="AH133" t="s">
        <v>1815</v>
      </c>
      <c r="AJ133" t="s">
        <v>1816</v>
      </c>
      <c r="AL133" t="s">
        <v>1817</v>
      </c>
      <c r="AN133" t="s">
        <v>1818</v>
      </c>
      <c r="AP133" t="s">
        <v>1819</v>
      </c>
    </row>
    <row r="134" spans="2:43">
      <c r="B134" t="s">
        <v>6366</v>
      </c>
      <c r="T134" t="s">
        <v>1821</v>
      </c>
      <c r="V134" t="s">
        <v>1822</v>
      </c>
      <c r="X134" t="s">
        <v>1823</v>
      </c>
      <c r="Z134" t="s">
        <v>1824</v>
      </c>
      <c r="AB134" t="s">
        <v>1825</v>
      </c>
      <c r="AD134" t="s">
        <v>1826</v>
      </c>
      <c r="AF134" t="s">
        <v>1827</v>
      </c>
      <c r="AH134" t="s">
        <v>1828</v>
      </c>
      <c r="AJ134" t="s">
        <v>1829</v>
      </c>
      <c r="AL134" t="s">
        <v>1830</v>
      </c>
      <c r="AN134" t="s">
        <v>1831</v>
      </c>
      <c r="AP134" t="s">
        <v>1832</v>
      </c>
    </row>
    <row r="135" spans="2:43">
      <c r="B135" t="s">
        <v>6367</v>
      </c>
      <c r="T135" t="s">
        <v>1834</v>
      </c>
      <c r="V135" t="s">
        <v>1835</v>
      </c>
      <c r="X135" t="s">
        <v>1836</v>
      </c>
      <c r="Z135" t="s">
        <v>1837</v>
      </c>
      <c r="AB135" t="s">
        <v>1838</v>
      </c>
      <c r="AD135" t="s">
        <v>1839</v>
      </c>
      <c r="AF135" t="s">
        <v>1840</v>
      </c>
      <c r="AH135" t="s">
        <v>1841</v>
      </c>
      <c r="AJ135" t="s">
        <v>1842</v>
      </c>
      <c r="AL135" t="s">
        <v>1843</v>
      </c>
      <c r="AN135" t="s">
        <v>1844</v>
      </c>
      <c r="AP135" t="s">
        <v>1845</v>
      </c>
    </row>
    <row r="136" spans="2:43">
      <c r="B136" t="s">
        <v>1099</v>
      </c>
    </row>
    <row r="137" spans="2:43">
      <c r="B137" t="s">
        <v>1100</v>
      </c>
      <c r="P137" t="s">
        <v>463</v>
      </c>
      <c r="T137" t="s">
        <v>6368</v>
      </c>
      <c r="V137" t="s">
        <v>6369</v>
      </c>
      <c r="X137" t="s">
        <v>6370</v>
      </c>
      <c r="Z137" t="s">
        <v>6371</v>
      </c>
      <c r="AB137" t="s">
        <v>6372</v>
      </c>
      <c r="AD137" t="s">
        <v>6373</v>
      </c>
      <c r="AF137" t="s">
        <v>6374</v>
      </c>
      <c r="AH137" t="s">
        <v>6375</v>
      </c>
      <c r="AJ137" t="s">
        <v>830</v>
      </c>
      <c r="AL137" t="s">
        <v>830</v>
      </c>
      <c r="AN137" t="s">
        <v>830</v>
      </c>
      <c r="AP137" t="s">
        <v>830</v>
      </c>
    </row>
    <row r="138" spans="2:43">
      <c r="B138" t="s">
        <v>1101</v>
      </c>
      <c r="P138" t="s">
        <v>464</v>
      </c>
      <c r="T138" t="s">
        <v>6376</v>
      </c>
      <c r="V138" t="s">
        <v>6377</v>
      </c>
      <c r="X138" t="s">
        <v>6378</v>
      </c>
      <c r="Z138" t="s">
        <v>6379</v>
      </c>
      <c r="AB138" t="s">
        <v>6380</v>
      </c>
      <c r="AD138" t="s">
        <v>6381</v>
      </c>
      <c r="AF138" t="s">
        <v>6382</v>
      </c>
      <c r="AH138" t="s">
        <v>6383</v>
      </c>
      <c r="AJ138" t="s">
        <v>830</v>
      </c>
      <c r="AL138" t="s">
        <v>830</v>
      </c>
      <c r="AN138" t="s">
        <v>830</v>
      </c>
      <c r="AP138" t="s">
        <v>830</v>
      </c>
    </row>
    <row r="139" spans="2:43">
      <c r="B139" t="s">
        <v>1102</v>
      </c>
      <c r="P139" t="s">
        <v>451</v>
      </c>
      <c r="T139" t="s">
        <v>6384</v>
      </c>
      <c r="V139" t="s">
        <v>6385</v>
      </c>
      <c r="X139" t="s">
        <v>6386</v>
      </c>
      <c r="Z139" t="s">
        <v>6387</v>
      </c>
      <c r="AB139" t="s">
        <v>6388</v>
      </c>
      <c r="AD139" t="s">
        <v>6389</v>
      </c>
      <c r="AF139" t="s">
        <v>6390</v>
      </c>
      <c r="AH139" t="s">
        <v>6391</v>
      </c>
      <c r="AJ139" t="s">
        <v>830</v>
      </c>
      <c r="AL139" t="s">
        <v>830</v>
      </c>
      <c r="AN139" t="s">
        <v>830</v>
      </c>
      <c r="AP139" t="s">
        <v>830</v>
      </c>
    </row>
    <row r="140" spans="2:43">
      <c r="B140" t="s">
        <v>1105</v>
      </c>
      <c r="P140" t="s">
        <v>465</v>
      </c>
      <c r="T140" t="s">
        <v>6392</v>
      </c>
      <c r="V140" t="s">
        <v>6393</v>
      </c>
      <c r="X140" t="s">
        <v>6394</v>
      </c>
      <c r="Z140" t="s">
        <v>6395</v>
      </c>
      <c r="AB140" t="s">
        <v>6396</v>
      </c>
      <c r="AD140" t="s">
        <v>6397</v>
      </c>
      <c r="AF140" t="s">
        <v>6398</v>
      </c>
      <c r="AH140" t="s">
        <v>6399</v>
      </c>
      <c r="AJ140" t="s">
        <v>830</v>
      </c>
      <c r="AL140" t="s">
        <v>830</v>
      </c>
      <c r="AN140" t="s">
        <v>830</v>
      </c>
      <c r="AP140" t="s">
        <v>830</v>
      </c>
    </row>
    <row r="141" spans="2:43">
      <c r="B141" t="s">
        <v>1106</v>
      </c>
    </row>
    <row r="142" spans="2:43">
      <c r="B142" t="s">
        <v>6400</v>
      </c>
      <c r="R142" t="s">
        <v>6401</v>
      </c>
      <c r="V142" t="s">
        <v>6402</v>
      </c>
      <c r="X142" t="s">
        <v>6403</v>
      </c>
      <c r="Z142" t="s">
        <v>6404</v>
      </c>
      <c r="AB142" t="s">
        <v>6405</v>
      </c>
      <c r="AD142" t="s">
        <v>6406</v>
      </c>
      <c r="AF142" t="s">
        <v>6407</v>
      </c>
      <c r="AH142" t="s">
        <v>6408</v>
      </c>
      <c r="AN142" t="s">
        <v>6409</v>
      </c>
    </row>
    <row r="143" spans="2:43">
      <c r="B143" t="s">
        <v>31</v>
      </c>
    </row>
    <row r="144" spans="2:43">
      <c r="B144" t="s">
        <v>31</v>
      </c>
      <c r="T144" t="s">
        <v>461</v>
      </c>
      <c r="AD144" t="s">
        <v>466</v>
      </c>
      <c r="AF144" t="s">
        <v>466</v>
      </c>
    </row>
    <row r="145" spans="2:32">
      <c r="B145" t="s">
        <v>31</v>
      </c>
      <c r="P145" t="s">
        <v>463</v>
      </c>
      <c r="T145" t="s">
        <v>6410</v>
      </c>
      <c r="AD145" t="s">
        <v>6411</v>
      </c>
      <c r="AF145" t="s">
        <v>6412</v>
      </c>
    </row>
    <row r="146" spans="2:32">
      <c r="B146" t="s">
        <v>31</v>
      </c>
      <c r="P146" t="s">
        <v>464</v>
      </c>
      <c r="T146" t="s">
        <v>5837</v>
      </c>
      <c r="AD146" t="s">
        <v>6413</v>
      </c>
      <c r="AF146" t="s">
        <v>6414</v>
      </c>
    </row>
    <row r="147" spans="2:32">
      <c r="B147" t="s">
        <v>31</v>
      </c>
      <c r="P147" t="s">
        <v>451</v>
      </c>
      <c r="T147" t="s">
        <v>6415</v>
      </c>
      <c r="AD147" t="s">
        <v>6416</v>
      </c>
      <c r="AF147" t="s">
        <v>6417</v>
      </c>
    </row>
    <row r="148" spans="2:32">
      <c r="B148" t="s">
        <v>31</v>
      </c>
      <c r="AD148" t="s">
        <v>6418</v>
      </c>
      <c r="AF148" t="s">
        <v>6419</v>
      </c>
    </row>
    <row r="149" spans="2:32">
      <c r="B149" t="s">
        <v>6420</v>
      </c>
    </row>
    <row r="150" spans="2:32">
      <c r="B150" t="s">
        <v>6421</v>
      </c>
    </row>
    <row r="151" spans="2:32">
      <c r="B151" t="s">
        <v>6422</v>
      </c>
      <c r="P151" t="s">
        <v>1277</v>
      </c>
      <c r="R151" t="s">
        <v>467</v>
      </c>
      <c r="X151" t="s">
        <v>6423</v>
      </c>
      <c r="Z151" t="s">
        <v>6424</v>
      </c>
      <c r="AB151" t="s">
        <v>6425</v>
      </c>
    </row>
    <row r="152" spans="2:32">
      <c r="B152" t="s">
        <v>6426</v>
      </c>
      <c r="P152" t="s">
        <v>1907</v>
      </c>
      <c r="R152" t="s">
        <v>468</v>
      </c>
      <c r="V152" t="s">
        <v>1908</v>
      </c>
      <c r="X152" t="s">
        <v>6427</v>
      </c>
      <c r="Z152" t="s">
        <v>6428</v>
      </c>
      <c r="AB152" t="s">
        <v>6429</v>
      </c>
    </row>
    <row r="153" spans="2:32">
      <c r="B153" t="s">
        <v>6430</v>
      </c>
      <c r="P153" t="s">
        <v>556</v>
      </c>
      <c r="R153" t="s">
        <v>469</v>
      </c>
      <c r="V153" t="s">
        <v>1908</v>
      </c>
      <c r="X153" t="s">
        <v>6431</v>
      </c>
      <c r="Z153" t="s">
        <v>6432</v>
      </c>
      <c r="AB153" t="s">
        <v>6433</v>
      </c>
    </row>
    <row r="154" spans="2:32">
      <c r="B154" t="s">
        <v>6434</v>
      </c>
      <c r="P154" t="s">
        <v>1915</v>
      </c>
      <c r="R154" t="s">
        <v>439</v>
      </c>
      <c r="V154" t="s">
        <v>470</v>
      </c>
      <c r="X154" t="s">
        <v>6435</v>
      </c>
      <c r="Z154" t="s">
        <v>6436</v>
      </c>
      <c r="AB154" t="s">
        <v>6437</v>
      </c>
    </row>
    <row r="155" spans="2:32">
      <c r="B155" t="s">
        <v>4512</v>
      </c>
      <c r="P155" t="s">
        <v>6438</v>
      </c>
      <c r="R155" t="s">
        <v>439</v>
      </c>
      <c r="V155" t="s">
        <v>470</v>
      </c>
      <c r="X155" t="s">
        <v>6439</v>
      </c>
      <c r="Z155" t="s">
        <v>6440</v>
      </c>
      <c r="AB155" t="s">
        <v>6441</v>
      </c>
    </row>
    <row r="156" spans="2:32">
      <c r="B156" t="s">
        <v>6442</v>
      </c>
      <c r="P156" t="s">
        <v>6443</v>
      </c>
      <c r="R156" t="s">
        <v>439</v>
      </c>
      <c r="V156" t="s">
        <v>470</v>
      </c>
      <c r="X156" t="s">
        <v>6444</v>
      </c>
      <c r="Z156" t="s">
        <v>6445</v>
      </c>
      <c r="AB156" t="s">
        <v>6446</v>
      </c>
    </row>
    <row r="157" spans="2:32">
      <c r="B157" t="s">
        <v>6447</v>
      </c>
      <c r="P157" t="s">
        <v>6448</v>
      </c>
      <c r="R157" t="s">
        <v>439</v>
      </c>
      <c r="V157" t="s">
        <v>470</v>
      </c>
      <c r="X157" t="s">
        <v>6449</v>
      </c>
      <c r="Z157" t="s">
        <v>6450</v>
      </c>
      <c r="AB157" t="s">
        <v>6451</v>
      </c>
    </row>
    <row r="158" spans="2:32">
      <c r="B158" t="s">
        <v>6452</v>
      </c>
      <c r="R158" t="s">
        <v>471</v>
      </c>
      <c r="Z158" t="s">
        <v>6453</v>
      </c>
      <c r="AB158" t="s">
        <v>6454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BF155"/>
  <sheetViews>
    <sheetView workbookViewId="0"/>
  </sheetViews>
  <sheetFormatPr defaultRowHeight="12.75"/>
  <sheetData>
    <row r="1" spans="1:58">
      <c r="A1" t="s">
        <v>6455</v>
      </c>
      <c r="B1" t="s">
        <v>53</v>
      </c>
      <c r="C1" t="s">
        <v>31</v>
      </c>
      <c r="D1" t="s">
        <v>31</v>
      </c>
      <c r="E1" t="s">
        <v>31</v>
      </c>
      <c r="F1" t="s">
        <v>31</v>
      </c>
      <c r="G1" t="s">
        <v>234</v>
      </c>
      <c r="H1" t="s">
        <v>31</v>
      </c>
      <c r="I1" t="s">
        <v>31</v>
      </c>
      <c r="J1" t="s">
        <v>31</v>
      </c>
      <c r="K1" t="s">
        <v>31</v>
      </c>
      <c r="L1" t="s">
        <v>235</v>
      </c>
      <c r="M1" t="s">
        <v>235</v>
      </c>
      <c r="N1" t="s">
        <v>235</v>
      </c>
      <c r="O1" t="s">
        <v>235</v>
      </c>
      <c r="P1" t="s">
        <v>1170</v>
      </c>
      <c r="Q1" t="s">
        <v>1171</v>
      </c>
      <c r="R1" t="s">
        <v>62</v>
      </c>
      <c r="S1" t="s">
        <v>31</v>
      </c>
      <c r="T1" t="s">
        <v>31</v>
      </c>
      <c r="V1" t="s">
        <v>1172</v>
      </c>
      <c r="W1" t="s">
        <v>1173</v>
      </c>
      <c r="X1" t="s">
        <v>1174</v>
      </c>
      <c r="Y1" t="s">
        <v>1175</v>
      </c>
      <c r="Z1" t="s">
        <v>1176</v>
      </c>
      <c r="AA1" t="s">
        <v>1177</v>
      </c>
      <c r="AB1" t="s">
        <v>1178</v>
      </c>
      <c r="AC1" t="s">
        <v>1179</v>
      </c>
      <c r="AD1" t="s">
        <v>1180</v>
      </c>
      <c r="AE1" t="s">
        <v>1181</v>
      </c>
      <c r="AF1" t="s">
        <v>1182</v>
      </c>
      <c r="AG1" t="s">
        <v>1183</v>
      </c>
      <c r="AH1" t="s">
        <v>1184</v>
      </c>
      <c r="AI1" t="s">
        <v>1185</v>
      </c>
      <c r="AJ1" t="s">
        <v>1186</v>
      </c>
      <c r="AK1" t="s">
        <v>1185</v>
      </c>
      <c r="AL1" t="s">
        <v>62</v>
      </c>
      <c r="AM1" t="s">
        <v>1187</v>
      </c>
      <c r="AN1" t="s">
        <v>31</v>
      </c>
      <c r="AO1" t="s">
        <v>31</v>
      </c>
      <c r="AP1" t="s">
        <v>236</v>
      </c>
      <c r="AQ1" t="s">
        <v>31</v>
      </c>
      <c r="AS1" t="s">
        <v>236</v>
      </c>
      <c r="AT1" t="s">
        <v>237</v>
      </c>
      <c r="AU1" t="s">
        <v>237</v>
      </c>
      <c r="AV1" t="s">
        <v>237</v>
      </c>
      <c r="AW1" t="s">
        <v>237</v>
      </c>
      <c r="AX1" t="s">
        <v>237</v>
      </c>
      <c r="AY1" t="s">
        <v>237</v>
      </c>
      <c r="AZ1" t="s">
        <v>237</v>
      </c>
      <c r="BA1" t="s">
        <v>237</v>
      </c>
      <c r="BB1" t="s">
        <v>237</v>
      </c>
      <c r="BC1" t="s">
        <v>237</v>
      </c>
      <c r="BD1" t="s">
        <v>237</v>
      </c>
      <c r="BE1" t="s">
        <v>237</v>
      </c>
      <c r="BF1" t="s">
        <v>237</v>
      </c>
    </row>
    <row r="2" spans="1:58">
      <c r="B2" t="s">
        <v>6456</v>
      </c>
      <c r="C2" t="s">
        <v>1189</v>
      </c>
      <c r="T2" t="s">
        <v>1190</v>
      </c>
      <c r="V2" t="s">
        <v>1191</v>
      </c>
      <c r="X2" t="s">
        <v>1192</v>
      </c>
      <c r="Z2" t="s">
        <v>1193</v>
      </c>
      <c r="AB2" t="s">
        <v>1194</v>
      </c>
      <c r="AD2" t="s">
        <v>1195</v>
      </c>
      <c r="AF2" t="s">
        <v>1196</v>
      </c>
      <c r="AH2" t="s">
        <v>1190</v>
      </c>
      <c r="AJ2" t="s">
        <v>1197</v>
      </c>
    </row>
    <row r="3" spans="1:58">
      <c r="B3" t="s">
        <v>31</v>
      </c>
      <c r="C3" t="s">
        <v>1198</v>
      </c>
      <c r="H3" t="s">
        <v>238</v>
      </c>
      <c r="I3" t="s">
        <v>239</v>
      </c>
      <c r="J3" t="s">
        <v>240</v>
      </c>
      <c r="T3" t="s">
        <v>1199</v>
      </c>
      <c r="V3" t="s">
        <v>1200</v>
      </c>
      <c r="X3" t="s">
        <v>1201</v>
      </c>
      <c r="Z3" t="s">
        <v>1202</v>
      </c>
      <c r="AB3" t="s">
        <v>1203</v>
      </c>
      <c r="AD3" t="s">
        <v>1204</v>
      </c>
      <c r="AF3" t="s">
        <v>1205</v>
      </c>
      <c r="AH3" t="s">
        <v>1199</v>
      </c>
      <c r="AJ3" t="s">
        <v>1206</v>
      </c>
      <c r="AN3" t="s">
        <v>1207</v>
      </c>
      <c r="AP3" t="s">
        <v>1207</v>
      </c>
    </row>
    <row r="4" spans="1:58">
      <c r="B4" t="s">
        <v>31</v>
      </c>
      <c r="E4" t="s">
        <v>248</v>
      </c>
      <c r="F4" t="s">
        <v>1208</v>
      </c>
      <c r="H4" t="s">
        <v>1209</v>
      </c>
      <c r="I4" t="s">
        <v>1210</v>
      </c>
      <c r="J4" t="s">
        <v>1211</v>
      </c>
      <c r="T4" t="s">
        <v>251</v>
      </c>
      <c r="V4" t="s">
        <v>251</v>
      </c>
      <c r="X4" t="s">
        <v>251</v>
      </c>
      <c r="Z4" t="s">
        <v>251</v>
      </c>
      <c r="AB4" t="s">
        <v>251</v>
      </c>
      <c r="AD4" t="s">
        <v>252</v>
      </c>
      <c r="AF4" t="s">
        <v>252</v>
      </c>
      <c r="AH4" t="s">
        <v>251</v>
      </c>
      <c r="AJ4" t="s">
        <v>252</v>
      </c>
      <c r="AL4" t="s">
        <v>252</v>
      </c>
      <c r="AN4" t="s">
        <v>252</v>
      </c>
      <c r="AP4" t="s">
        <v>252</v>
      </c>
    </row>
    <row r="5" spans="1:58">
      <c r="B5" t="s">
        <v>31</v>
      </c>
      <c r="C5" t="s">
        <v>253</v>
      </c>
      <c r="D5" t="s">
        <v>74</v>
      </c>
      <c r="E5" t="s">
        <v>87</v>
      </c>
      <c r="F5" t="s">
        <v>803</v>
      </c>
      <c r="H5" t="s">
        <v>1212</v>
      </c>
      <c r="I5" t="s">
        <v>1213</v>
      </c>
      <c r="J5" t="s">
        <v>1214</v>
      </c>
      <c r="T5" t="s">
        <v>1215</v>
      </c>
      <c r="V5" t="s">
        <v>1216</v>
      </c>
      <c r="X5" t="s">
        <v>1217</v>
      </c>
      <c r="Z5" t="s">
        <v>1218</v>
      </c>
      <c r="AB5" t="s">
        <v>1219</v>
      </c>
      <c r="AD5" t="s">
        <v>1220</v>
      </c>
      <c r="AF5" t="s">
        <v>1221</v>
      </c>
      <c r="AH5" t="s">
        <v>1215</v>
      </c>
      <c r="AJ5" t="s">
        <v>1222</v>
      </c>
      <c r="AN5" t="s">
        <v>1223</v>
      </c>
      <c r="AP5" t="s">
        <v>1223</v>
      </c>
    </row>
    <row r="6" spans="1:58">
      <c r="B6" t="s">
        <v>31</v>
      </c>
      <c r="C6" t="s">
        <v>255</v>
      </c>
      <c r="D6" t="s">
        <v>807</v>
      </c>
      <c r="E6" t="s">
        <v>256</v>
      </c>
      <c r="F6" t="s">
        <v>1224</v>
      </c>
      <c r="H6" t="s">
        <v>1225</v>
      </c>
      <c r="I6" t="s">
        <v>1226</v>
      </c>
      <c r="J6" t="s">
        <v>1227</v>
      </c>
      <c r="AD6" t="s">
        <v>99</v>
      </c>
      <c r="AF6" t="s">
        <v>99</v>
      </c>
      <c r="AJ6" t="s">
        <v>99</v>
      </c>
      <c r="AN6" t="s">
        <v>99</v>
      </c>
      <c r="AP6" t="s">
        <v>99</v>
      </c>
    </row>
    <row r="7" spans="1:58">
      <c r="B7" t="s">
        <v>31</v>
      </c>
      <c r="C7" t="s">
        <v>65</v>
      </c>
      <c r="D7" t="s">
        <v>817</v>
      </c>
      <c r="E7" t="s">
        <v>258</v>
      </c>
      <c r="F7" t="s">
        <v>1228</v>
      </c>
      <c r="H7" t="s">
        <v>1229</v>
      </c>
      <c r="I7" t="s">
        <v>1230</v>
      </c>
      <c r="J7" t="s">
        <v>1207</v>
      </c>
      <c r="AD7" t="s">
        <v>260</v>
      </c>
      <c r="AF7" t="s">
        <v>260</v>
      </c>
      <c r="AN7" t="s">
        <v>260</v>
      </c>
      <c r="AP7" t="s">
        <v>260</v>
      </c>
    </row>
    <row r="8" spans="1:58">
      <c r="B8" t="s">
        <v>31</v>
      </c>
      <c r="C8" t="s">
        <v>261</v>
      </c>
      <c r="D8" t="s">
        <v>99</v>
      </c>
      <c r="E8" t="s">
        <v>262</v>
      </c>
      <c r="F8" t="s">
        <v>1231</v>
      </c>
      <c r="H8" t="s">
        <v>1232</v>
      </c>
      <c r="I8" t="s">
        <v>1233</v>
      </c>
      <c r="AD8" t="s">
        <v>1234</v>
      </c>
      <c r="AF8" t="s">
        <v>1235</v>
      </c>
    </row>
    <row r="9" spans="1:58">
      <c r="B9" t="s">
        <v>31</v>
      </c>
      <c r="C9" t="s">
        <v>263</v>
      </c>
      <c r="D9" t="s">
        <v>59</v>
      </c>
      <c r="E9" t="s">
        <v>264</v>
      </c>
      <c r="F9" t="s">
        <v>1236</v>
      </c>
      <c r="H9" t="s">
        <v>1237</v>
      </c>
      <c r="I9" t="s">
        <v>1238</v>
      </c>
    </row>
    <row r="10" spans="1:58">
      <c r="B10" t="s">
        <v>31</v>
      </c>
      <c r="C10" t="s">
        <v>265</v>
      </c>
      <c r="D10" t="s">
        <v>1239</v>
      </c>
      <c r="E10" t="s">
        <v>266</v>
      </c>
      <c r="F10" t="s">
        <v>1240</v>
      </c>
      <c r="H10" t="s">
        <v>1241</v>
      </c>
      <c r="I10" t="s">
        <v>1242</v>
      </c>
    </row>
    <row r="11" spans="1:58">
      <c r="B11" t="s">
        <v>31</v>
      </c>
      <c r="C11" t="s">
        <v>267</v>
      </c>
      <c r="D11" t="s">
        <v>1243</v>
      </c>
      <c r="E11" t="s">
        <v>268</v>
      </c>
      <c r="F11" t="s">
        <v>1244</v>
      </c>
      <c r="H11" t="s">
        <v>1245</v>
      </c>
      <c r="I11" t="s">
        <v>1246</v>
      </c>
    </row>
    <row r="12" spans="1:58">
      <c r="B12" t="s">
        <v>31</v>
      </c>
      <c r="E12" t="s">
        <v>269</v>
      </c>
      <c r="F12" t="s">
        <v>1247</v>
      </c>
      <c r="J12" t="s">
        <v>106</v>
      </c>
    </row>
    <row r="13" spans="1:58">
      <c r="B13" t="s">
        <v>31</v>
      </c>
      <c r="E13" t="s">
        <v>270</v>
      </c>
      <c r="F13" t="s">
        <v>1248</v>
      </c>
      <c r="J13" t="s">
        <v>271</v>
      </c>
    </row>
    <row r="14" spans="1:58">
      <c r="B14" t="s">
        <v>31</v>
      </c>
      <c r="E14" t="s">
        <v>97</v>
      </c>
      <c r="F14" t="s">
        <v>1249</v>
      </c>
    </row>
    <row r="15" spans="1:58">
      <c r="B15" t="s">
        <v>31</v>
      </c>
      <c r="E15" t="s">
        <v>272</v>
      </c>
      <c r="F15" t="s">
        <v>1250</v>
      </c>
    </row>
    <row r="16" spans="1:58">
      <c r="B16" t="s">
        <v>31</v>
      </c>
      <c r="E16" t="s">
        <v>102</v>
      </c>
      <c r="F16" t="s">
        <v>1251</v>
      </c>
    </row>
    <row r="17" spans="1:45">
      <c r="B17" t="s">
        <v>31</v>
      </c>
      <c r="E17" t="s">
        <v>65</v>
      </c>
      <c r="F17" t="s">
        <v>1967</v>
      </c>
    </row>
    <row r="18" spans="1:45">
      <c r="B18" t="s">
        <v>31</v>
      </c>
    </row>
    <row r="19" spans="1:45">
      <c r="B19" t="s">
        <v>31</v>
      </c>
      <c r="E19" t="s">
        <v>273</v>
      </c>
      <c r="H19" t="s">
        <v>274</v>
      </c>
    </row>
    <row r="20" spans="1:45">
      <c r="B20" t="s">
        <v>31</v>
      </c>
      <c r="E20" t="s">
        <v>275</v>
      </c>
      <c r="H20" t="s">
        <v>1253</v>
      </c>
    </row>
    <row r="21" spans="1:45">
      <c r="B21" t="s">
        <v>31</v>
      </c>
      <c r="E21" t="s">
        <v>276</v>
      </c>
      <c r="H21" t="s">
        <v>1254</v>
      </c>
    </row>
    <row r="22" spans="1:45">
      <c r="B22" t="s">
        <v>31</v>
      </c>
      <c r="E22" t="s">
        <v>65</v>
      </c>
      <c r="F22" t="s">
        <v>1255</v>
      </c>
      <c r="H22" t="s">
        <v>1256</v>
      </c>
    </row>
    <row r="23" spans="1:45">
      <c r="B23" t="s">
        <v>31</v>
      </c>
      <c r="E23" t="s">
        <v>277</v>
      </c>
    </row>
    <row r="24" spans="1:45">
      <c r="A24" t="s">
        <v>235</v>
      </c>
      <c r="B24" t="s">
        <v>31</v>
      </c>
      <c r="E24" t="s">
        <v>278</v>
      </c>
      <c r="G24" t="s">
        <v>279</v>
      </c>
      <c r="AJ24" t="s">
        <v>280</v>
      </c>
      <c r="AP24" t="s">
        <v>281</v>
      </c>
      <c r="AS24" t="s">
        <v>282</v>
      </c>
    </row>
    <row r="25" spans="1:45">
      <c r="B25" t="s">
        <v>62</v>
      </c>
      <c r="O25" t="s">
        <v>283</v>
      </c>
      <c r="P25" t="s">
        <v>1257</v>
      </c>
    </row>
    <row r="26" spans="1:45">
      <c r="O26" t="s">
        <v>284</v>
      </c>
      <c r="P26" t="s">
        <v>1258</v>
      </c>
    </row>
    <row r="27" spans="1:45">
      <c r="B27" t="s">
        <v>62</v>
      </c>
      <c r="O27" t="s">
        <v>285</v>
      </c>
      <c r="P27" t="s">
        <v>1259</v>
      </c>
    </row>
    <row r="29" spans="1:45">
      <c r="B29" t="s">
        <v>1260</v>
      </c>
      <c r="P29" t="s">
        <v>286</v>
      </c>
    </row>
    <row r="30" spans="1:45">
      <c r="B30" t="s">
        <v>1261</v>
      </c>
    </row>
    <row r="31" spans="1:45">
      <c r="B31" t="s">
        <v>62</v>
      </c>
      <c r="AD31" t="s">
        <v>6457</v>
      </c>
      <c r="AF31" t="s">
        <v>6458</v>
      </c>
      <c r="AH31" t="s">
        <v>287</v>
      </c>
      <c r="AJ31" t="s">
        <v>288</v>
      </c>
      <c r="AL31" t="s">
        <v>289</v>
      </c>
      <c r="AN31" t="s">
        <v>290</v>
      </c>
      <c r="AP31" t="s">
        <v>291</v>
      </c>
    </row>
    <row r="32" spans="1:45">
      <c r="B32" t="s">
        <v>62</v>
      </c>
      <c r="P32" t="s">
        <v>292</v>
      </c>
      <c r="T32" t="s">
        <v>287</v>
      </c>
      <c r="V32" t="s">
        <v>287</v>
      </c>
      <c r="X32" t="s">
        <v>287</v>
      </c>
      <c r="Z32" t="s">
        <v>287</v>
      </c>
      <c r="AB32" t="s">
        <v>287</v>
      </c>
      <c r="AD32" t="s">
        <v>293</v>
      </c>
      <c r="AF32" t="s">
        <v>293</v>
      </c>
      <c r="AH32" t="s">
        <v>294</v>
      </c>
      <c r="AJ32" t="s">
        <v>1264</v>
      </c>
      <c r="AL32" t="s">
        <v>288</v>
      </c>
      <c r="AN32" t="s">
        <v>296</v>
      </c>
      <c r="AP32" t="s">
        <v>293</v>
      </c>
    </row>
    <row r="33" spans="1:58">
      <c r="A33" t="s">
        <v>297</v>
      </c>
      <c r="B33" t="s">
        <v>62</v>
      </c>
      <c r="L33" t="s">
        <v>65</v>
      </c>
      <c r="M33" t="s">
        <v>298</v>
      </c>
      <c r="N33" t="s">
        <v>255</v>
      </c>
      <c r="O33" t="s">
        <v>253</v>
      </c>
      <c r="P33" t="s">
        <v>299</v>
      </c>
      <c r="R33" t="s">
        <v>300</v>
      </c>
      <c r="T33" t="s">
        <v>301</v>
      </c>
      <c r="V33" t="s">
        <v>1265</v>
      </c>
      <c r="X33" t="s">
        <v>1266</v>
      </c>
      <c r="Z33" t="s">
        <v>1267</v>
      </c>
      <c r="AB33" t="s">
        <v>1268</v>
      </c>
      <c r="AD33" t="s">
        <v>1269</v>
      </c>
      <c r="AF33" t="s">
        <v>1270</v>
      </c>
      <c r="AH33" t="s">
        <v>1271</v>
      </c>
      <c r="AJ33" t="s">
        <v>1272</v>
      </c>
      <c r="AL33" t="s">
        <v>1273</v>
      </c>
      <c r="AN33" t="s">
        <v>1274</v>
      </c>
      <c r="AP33" t="s">
        <v>1274</v>
      </c>
      <c r="AS33" t="s">
        <v>305</v>
      </c>
    </row>
    <row r="34" spans="1:58">
      <c r="B34" t="s">
        <v>62</v>
      </c>
    </row>
    <row r="35" spans="1:58">
      <c r="B35" t="s">
        <v>62</v>
      </c>
      <c r="O35" t="s">
        <v>306</v>
      </c>
      <c r="P35" t="s">
        <v>307</v>
      </c>
    </row>
    <row r="36" spans="1:58">
      <c r="B36" t="s">
        <v>62</v>
      </c>
      <c r="R36" t="s">
        <v>6459</v>
      </c>
    </row>
    <row r="37" spans="1:58">
      <c r="B37" t="s">
        <v>62</v>
      </c>
    </row>
    <row r="38" spans="1:58">
      <c r="A38" t="s">
        <v>236</v>
      </c>
      <c r="B38" t="s">
        <v>62</v>
      </c>
      <c r="E38" t="s">
        <v>1276</v>
      </c>
      <c r="K38" t="s">
        <v>1277</v>
      </c>
      <c r="L38" t="s">
        <v>1278</v>
      </c>
      <c r="M38" t="s">
        <v>1279</v>
      </c>
      <c r="N38" t="s">
        <v>1280</v>
      </c>
      <c r="O38" t="s">
        <v>1281</v>
      </c>
      <c r="P38" t="s">
        <v>1281</v>
      </c>
      <c r="R38" t="s">
        <v>1282</v>
      </c>
      <c r="T38" t="s">
        <v>1283</v>
      </c>
      <c r="V38" t="s">
        <v>1284</v>
      </c>
      <c r="X38" t="s">
        <v>1285</v>
      </c>
      <c r="Z38" t="s">
        <v>1286</v>
      </c>
      <c r="AB38" t="s">
        <v>1287</v>
      </c>
      <c r="AD38" t="s">
        <v>1288</v>
      </c>
      <c r="AF38" t="s">
        <v>1289</v>
      </c>
      <c r="AH38" t="s">
        <v>6460</v>
      </c>
      <c r="AJ38" t="s">
        <v>1291</v>
      </c>
      <c r="AL38" t="s">
        <v>1292</v>
      </c>
      <c r="AN38" t="s">
        <v>1293</v>
      </c>
      <c r="AP38" t="s">
        <v>1294</v>
      </c>
      <c r="AQ38" t="s">
        <v>1295</v>
      </c>
    </row>
    <row r="39" spans="1:58">
      <c r="A39" t="s">
        <v>236</v>
      </c>
      <c r="B39" t="s">
        <v>1296</v>
      </c>
      <c r="K39" t="s">
        <v>1297</v>
      </c>
      <c r="L39" t="s">
        <v>1278</v>
      </c>
      <c r="M39" t="s">
        <v>1279</v>
      </c>
      <c r="N39" t="s">
        <v>1280</v>
      </c>
      <c r="O39" t="s">
        <v>1298</v>
      </c>
      <c r="P39" t="s">
        <v>1299</v>
      </c>
      <c r="R39" t="s">
        <v>1300</v>
      </c>
      <c r="T39" t="s">
        <v>1301</v>
      </c>
      <c r="V39" t="s">
        <v>1302</v>
      </c>
      <c r="X39" t="s">
        <v>1303</v>
      </c>
      <c r="Z39" t="s">
        <v>1304</v>
      </c>
      <c r="AB39" t="s">
        <v>1305</v>
      </c>
      <c r="AD39" t="s">
        <v>1306</v>
      </c>
      <c r="AF39" t="s">
        <v>1307</v>
      </c>
      <c r="AH39" t="s">
        <v>1308</v>
      </c>
      <c r="AJ39" t="s">
        <v>1309</v>
      </c>
      <c r="AL39" t="s">
        <v>1310</v>
      </c>
      <c r="AN39" t="s">
        <v>1311</v>
      </c>
      <c r="AP39" t="s">
        <v>1312</v>
      </c>
      <c r="AQ39" t="s">
        <v>1313</v>
      </c>
    </row>
    <row r="40" spans="1:58">
      <c r="A40" t="s">
        <v>311</v>
      </c>
      <c r="B40" t="s">
        <v>3062</v>
      </c>
      <c r="K40" t="s">
        <v>3099</v>
      </c>
      <c r="L40" t="s">
        <v>1278</v>
      </c>
      <c r="M40" t="s">
        <v>1279</v>
      </c>
      <c r="N40" t="s">
        <v>1280</v>
      </c>
      <c r="O40" t="s">
        <v>3064</v>
      </c>
      <c r="P40" t="s">
        <v>3065</v>
      </c>
      <c r="R40" t="s">
        <v>3066</v>
      </c>
      <c r="T40" t="s">
        <v>3067</v>
      </c>
      <c r="V40" t="s">
        <v>3068</v>
      </c>
      <c r="X40" t="s">
        <v>3069</v>
      </c>
      <c r="Z40" t="s">
        <v>3070</v>
      </c>
      <c r="AB40" t="s">
        <v>3071</v>
      </c>
      <c r="AD40" t="s">
        <v>3072</v>
      </c>
      <c r="AF40" t="s">
        <v>3073</v>
      </c>
      <c r="AH40" t="s">
        <v>3074</v>
      </c>
      <c r="AJ40" t="s">
        <v>3075</v>
      </c>
      <c r="AL40" t="s">
        <v>3076</v>
      </c>
      <c r="AN40" t="s">
        <v>3077</v>
      </c>
      <c r="AP40" t="s">
        <v>3078</v>
      </c>
      <c r="AQ40" t="s">
        <v>3079</v>
      </c>
    </row>
    <row r="41" spans="1:58">
      <c r="A41" t="s">
        <v>311</v>
      </c>
      <c r="B41" t="s">
        <v>3080</v>
      </c>
      <c r="K41" t="s">
        <v>3134</v>
      </c>
      <c r="L41" t="s">
        <v>1278</v>
      </c>
      <c r="M41" t="s">
        <v>1279</v>
      </c>
      <c r="N41" t="s">
        <v>1280</v>
      </c>
      <c r="O41" t="s">
        <v>3082</v>
      </c>
      <c r="P41" t="s">
        <v>3083</v>
      </c>
      <c r="R41" t="s">
        <v>3084</v>
      </c>
      <c r="T41" t="s">
        <v>3085</v>
      </c>
      <c r="V41" t="s">
        <v>3086</v>
      </c>
      <c r="X41" t="s">
        <v>3087</v>
      </c>
      <c r="Z41" t="s">
        <v>3088</v>
      </c>
      <c r="AB41" t="s">
        <v>3089</v>
      </c>
      <c r="AD41" t="s">
        <v>3090</v>
      </c>
      <c r="AF41" t="s">
        <v>3091</v>
      </c>
      <c r="AH41" t="s">
        <v>3092</v>
      </c>
      <c r="AJ41" t="s">
        <v>3093</v>
      </c>
      <c r="AL41" t="s">
        <v>3094</v>
      </c>
      <c r="AN41" t="s">
        <v>3095</v>
      </c>
      <c r="AP41" t="s">
        <v>3096</v>
      </c>
      <c r="AQ41" t="s">
        <v>3097</v>
      </c>
    </row>
    <row r="42" spans="1:58">
      <c r="A42" t="s">
        <v>311</v>
      </c>
      <c r="B42" t="s">
        <v>3098</v>
      </c>
      <c r="K42" t="s">
        <v>3146</v>
      </c>
      <c r="L42" t="s">
        <v>1278</v>
      </c>
      <c r="M42" t="s">
        <v>1279</v>
      </c>
      <c r="N42" t="s">
        <v>1280</v>
      </c>
      <c r="O42" t="s">
        <v>3100</v>
      </c>
      <c r="P42" t="s">
        <v>3101</v>
      </c>
      <c r="R42" t="s">
        <v>3102</v>
      </c>
      <c r="T42" t="s">
        <v>3103</v>
      </c>
      <c r="V42" t="s">
        <v>3104</v>
      </c>
      <c r="X42" t="s">
        <v>3105</v>
      </c>
      <c r="Z42" t="s">
        <v>3106</v>
      </c>
      <c r="AB42" t="s">
        <v>3107</v>
      </c>
      <c r="AD42" t="s">
        <v>3108</v>
      </c>
      <c r="AF42" t="s">
        <v>3109</v>
      </c>
      <c r="AH42" t="s">
        <v>3110</v>
      </c>
      <c r="AJ42" t="s">
        <v>3111</v>
      </c>
      <c r="AL42" t="s">
        <v>3112</v>
      </c>
      <c r="AN42" t="s">
        <v>3113</v>
      </c>
      <c r="AP42" t="s">
        <v>3114</v>
      </c>
      <c r="AQ42" t="s">
        <v>3115</v>
      </c>
    </row>
    <row r="43" spans="1:58">
      <c r="A43" t="s">
        <v>311</v>
      </c>
      <c r="B43" t="s">
        <v>3116</v>
      </c>
      <c r="K43" t="s">
        <v>3163</v>
      </c>
      <c r="L43" t="s">
        <v>1278</v>
      </c>
      <c r="M43" t="s">
        <v>1279</v>
      </c>
      <c r="N43" t="s">
        <v>1280</v>
      </c>
      <c r="O43" t="s">
        <v>3118</v>
      </c>
      <c r="P43" t="s">
        <v>3119</v>
      </c>
      <c r="R43" t="s">
        <v>3120</v>
      </c>
      <c r="T43" t="s">
        <v>3121</v>
      </c>
      <c r="V43" t="s">
        <v>3122</v>
      </c>
      <c r="X43" t="s">
        <v>3123</v>
      </c>
      <c r="Z43" t="s">
        <v>3124</v>
      </c>
      <c r="AB43" t="s">
        <v>3125</v>
      </c>
      <c r="AD43" t="s">
        <v>3126</v>
      </c>
      <c r="AF43" t="s">
        <v>3127</v>
      </c>
      <c r="AH43" t="s">
        <v>3128</v>
      </c>
      <c r="AJ43" t="s">
        <v>3129</v>
      </c>
      <c r="AL43" t="s">
        <v>3130</v>
      </c>
      <c r="AN43" t="s">
        <v>3131</v>
      </c>
      <c r="AP43" t="s">
        <v>3132</v>
      </c>
      <c r="AQ43" t="s">
        <v>3133</v>
      </c>
    </row>
    <row r="44" spans="1:58">
      <c r="B44" t="s">
        <v>62</v>
      </c>
    </row>
    <row r="45" spans="1:58">
      <c r="B45" t="s">
        <v>31</v>
      </c>
      <c r="E45" t="s">
        <v>1314</v>
      </c>
    </row>
    <row r="46" spans="1:58">
      <c r="B46" t="s">
        <v>31</v>
      </c>
      <c r="I46" t="s">
        <v>6461</v>
      </c>
    </row>
    <row r="47" spans="1:58">
      <c r="B47" t="s">
        <v>6462</v>
      </c>
      <c r="I47" t="s">
        <v>6463</v>
      </c>
      <c r="R47" t="s">
        <v>6464</v>
      </c>
      <c r="AU47" t="s">
        <v>301</v>
      </c>
      <c r="AV47" t="s">
        <v>1319</v>
      </c>
      <c r="AW47" t="s">
        <v>1320</v>
      </c>
      <c r="AX47" t="s">
        <v>1321</v>
      </c>
      <c r="AY47" t="s">
        <v>1322</v>
      </c>
      <c r="AZ47" t="s">
        <v>327</v>
      </c>
      <c r="BA47" t="s">
        <v>328</v>
      </c>
      <c r="BB47" t="s">
        <v>329</v>
      </c>
      <c r="BC47" t="s">
        <v>330</v>
      </c>
      <c r="BD47" t="s">
        <v>289</v>
      </c>
      <c r="BE47" t="s">
        <v>331</v>
      </c>
      <c r="BF47" t="s">
        <v>332</v>
      </c>
    </row>
    <row r="48" spans="1:58">
      <c r="A48" t="s">
        <v>236</v>
      </c>
      <c r="B48" t="s">
        <v>3197</v>
      </c>
      <c r="I48" t="s">
        <v>6465</v>
      </c>
      <c r="K48" t="s">
        <v>6466</v>
      </c>
      <c r="L48" t="s">
        <v>1278</v>
      </c>
      <c r="M48" t="s">
        <v>1279</v>
      </c>
      <c r="N48" t="s">
        <v>1280</v>
      </c>
      <c r="O48" t="s">
        <v>6467</v>
      </c>
      <c r="P48" t="s">
        <v>3200</v>
      </c>
      <c r="R48" t="s">
        <v>3201</v>
      </c>
      <c r="T48" t="s">
        <v>6468</v>
      </c>
      <c r="V48" t="s">
        <v>6469</v>
      </c>
      <c r="X48" t="s">
        <v>6470</v>
      </c>
      <c r="Z48" t="s">
        <v>6471</v>
      </c>
      <c r="AB48" t="s">
        <v>6472</v>
      </c>
      <c r="AD48" t="s">
        <v>6473</v>
      </c>
      <c r="AF48" t="s">
        <v>6474</v>
      </c>
      <c r="AH48" t="s">
        <v>6475</v>
      </c>
      <c r="AJ48" t="s">
        <v>3210</v>
      </c>
      <c r="AL48" t="s">
        <v>3211</v>
      </c>
      <c r="AN48" t="s">
        <v>6476</v>
      </c>
      <c r="AP48" t="s">
        <v>3213</v>
      </c>
      <c r="AQ48" t="s">
        <v>3214</v>
      </c>
    </row>
    <row r="49" spans="1:58">
      <c r="B49" t="s">
        <v>6462</v>
      </c>
      <c r="I49" t="s">
        <v>5892</v>
      </c>
    </row>
    <row r="50" spans="1:58">
      <c r="B50" t="s">
        <v>3232</v>
      </c>
      <c r="I50" t="s">
        <v>5904</v>
      </c>
      <c r="R50" t="s">
        <v>150</v>
      </c>
      <c r="T50" t="s">
        <v>6477</v>
      </c>
      <c r="V50" t="s">
        <v>6478</v>
      </c>
      <c r="X50" t="s">
        <v>6479</v>
      </c>
      <c r="Z50" t="s">
        <v>6480</v>
      </c>
      <c r="AB50" t="s">
        <v>6481</v>
      </c>
      <c r="AD50" t="s">
        <v>6482</v>
      </c>
      <c r="AF50" t="s">
        <v>6483</v>
      </c>
      <c r="AH50" t="s">
        <v>6484</v>
      </c>
      <c r="AJ50" t="s">
        <v>6485</v>
      </c>
      <c r="AL50" t="s">
        <v>6486</v>
      </c>
      <c r="AN50" t="s">
        <v>6487</v>
      </c>
      <c r="AP50" t="s">
        <v>6488</v>
      </c>
      <c r="AQ50" t="s">
        <v>3249</v>
      </c>
      <c r="AU50" t="s">
        <v>6477</v>
      </c>
      <c r="AV50" t="s">
        <v>6478</v>
      </c>
      <c r="AW50" t="s">
        <v>6479</v>
      </c>
      <c r="AX50" t="s">
        <v>6480</v>
      </c>
      <c r="AY50" t="s">
        <v>6481</v>
      </c>
      <c r="AZ50" t="s">
        <v>6482</v>
      </c>
      <c r="BA50" t="s">
        <v>6483</v>
      </c>
      <c r="BB50" t="s">
        <v>6484</v>
      </c>
      <c r="BC50" t="s">
        <v>6485</v>
      </c>
      <c r="BD50" t="s">
        <v>6486</v>
      </c>
      <c r="BE50" t="s">
        <v>6487</v>
      </c>
      <c r="BF50" t="s">
        <v>6488</v>
      </c>
    </row>
    <row r="51" spans="1:58">
      <c r="B51" t="s">
        <v>6462</v>
      </c>
      <c r="I51" t="s">
        <v>5905</v>
      </c>
    </row>
    <row r="52" spans="1:58">
      <c r="B52" t="s">
        <v>62</v>
      </c>
    </row>
    <row r="53" spans="1:58">
      <c r="B53" t="s">
        <v>62</v>
      </c>
      <c r="R53" t="s">
        <v>1359</v>
      </c>
      <c r="T53" t="s">
        <v>6489</v>
      </c>
      <c r="V53" t="s">
        <v>6490</v>
      </c>
      <c r="X53" t="s">
        <v>6491</v>
      </c>
      <c r="Z53" t="s">
        <v>6492</v>
      </c>
      <c r="AB53" t="s">
        <v>6493</v>
      </c>
      <c r="AD53" t="s">
        <v>6494</v>
      </c>
      <c r="AF53" t="s">
        <v>6495</v>
      </c>
      <c r="AH53" t="s">
        <v>6496</v>
      </c>
      <c r="AJ53" t="s">
        <v>6497</v>
      </c>
      <c r="AL53" t="s">
        <v>6498</v>
      </c>
      <c r="AN53" t="s">
        <v>6499</v>
      </c>
      <c r="AP53" t="s">
        <v>6500</v>
      </c>
      <c r="AQ53" t="s">
        <v>1391</v>
      </c>
    </row>
    <row r="54" spans="1:58">
      <c r="B54" t="s">
        <v>62</v>
      </c>
    </row>
    <row r="55" spans="1:58">
      <c r="B55" t="s">
        <v>3320</v>
      </c>
      <c r="E55" t="s">
        <v>1374</v>
      </c>
      <c r="R55" t="s">
        <v>335</v>
      </c>
    </row>
    <row r="56" spans="1:58">
      <c r="B56" t="s">
        <v>31</v>
      </c>
    </row>
    <row r="57" spans="1:58">
      <c r="A57" t="s">
        <v>236</v>
      </c>
      <c r="B57" t="s">
        <v>6501</v>
      </c>
      <c r="K57" t="s">
        <v>6502</v>
      </c>
      <c r="L57" t="s">
        <v>1278</v>
      </c>
      <c r="M57" t="s">
        <v>1279</v>
      </c>
      <c r="N57" t="s">
        <v>1280</v>
      </c>
      <c r="O57" t="s">
        <v>6503</v>
      </c>
      <c r="P57" t="s">
        <v>6504</v>
      </c>
      <c r="R57" t="s">
        <v>6505</v>
      </c>
      <c r="T57" t="s">
        <v>6506</v>
      </c>
      <c r="V57" t="s">
        <v>6507</v>
      </c>
      <c r="X57" t="s">
        <v>6508</v>
      </c>
      <c r="Z57" t="s">
        <v>6509</v>
      </c>
      <c r="AB57" t="s">
        <v>6510</v>
      </c>
      <c r="AD57" t="s">
        <v>6511</v>
      </c>
      <c r="AF57" t="s">
        <v>6512</v>
      </c>
      <c r="AH57" t="s">
        <v>6513</v>
      </c>
      <c r="AJ57" t="s">
        <v>830</v>
      </c>
      <c r="AL57" t="s">
        <v>6514</v>
      </c>
      <c r="AN57" t="s">
        <v>6515</v>
      </c>
      <c r="AP57" t="s">
        <v>6516</v>
      </c>
      <c r="AQ57" t="s">
        <v>1421</v>
      </c>
    </row>
    <row r="58" spans="1:58">
      <c r="B58" t="s">
        <v>31</v>
      </c>
    </row>
    <row r="59" spans="1:58">
      <c r="B59" t="s">
        <v>3320</v>
      </c>
      <c r="R59" t="s">
        <v>1392</v>
      </c>
      <c r="T59" t="s">
        <v>6517</v>
      </c>
      <c r="V59" t="s">
        <v>6518</v>
      </c>
      <c r="X59" t="s">
        <v>6519</v>
      </c>
      <c r="Z59" t="s">
        <v>6520</v>
      </c>
      <c r="AB59" t="s">
        <v>6521</v>
      </c>
      <c r="AD59" t="s">
        <v>6522</v>
      </c>
      <c r="AF59" t="s">
        <v>6523</v>
      </c>
      <c r="AH59" t="s">
        <v>6524</v>
      </c>
      <c r="AJ59" t="s">
        <v>6525</v>
      </c>
      <c r="AL59" t="s">
        <v>6526</v>
      </c>
      <c r="AN59" t="s">
        <v>6527</v>
      </c>
      <c r="AP59" t="s">
        <v>6528</v>
      </c>
      <c r="AQ59" t="s">
        <v>3338</v>
      </c>
    </row>
    <row r="60" spans="1:58">
      <c r="B60" t="s">
        <v>6529</v>
      </c>
    </row>
    <row r="61" spans="1:58">
      <c r="B61" t="s">
        <v>5962</v>
      </c>
      <c r="R61" t="s">
        <v>1408</v>
      </c>
      <c r="T61" t="s">
        <v>6530</v>
      </c>
      <c r="V61" t="s">
        <v>6531</v>
      </c>
      <c r="X61" t="s">
        <v>6532</v>
      </c>
      <c r="Z61" t="s">
        <v>6533</v>
      </c>
      <c r="AB61" t="s">
        <v>6534</v>
      </c>
      <c r="AD61" t="s">
        <v>6535</v>
      </c>
      <c r="AF61" t="s">
        <v>6536</v>
      </c>
      <c r="AH61" t="s">
        <v>6537</v>
      </c>
      <c r="AJ61" t="s">
        <v>6538</v>
      </c>
      <c r="AL61" t="s">
        <v>6539</v>
      </c>
      <c r="AN61" t="s">
        <v>6540</v>
      </c>
      <c r="AP61" t="s">
        <v>6541</v>
      </c>
      <c r="AQ61" t="s">
        <v>3354</v>
      </c>
    </row>
    <row r="62" spans="1:58">
      <c r="B62" t="s">
        <v>3317</v>
      </c>
    </row>
    <row r="63" spans="1:58">
      <c r="B63" t="s">
        <v>62</v>
      </c>
      <c r="R63" t="s">
        <v>1423</v>
      </c>
    </row>
    <row r="64" spans="1:58">
      <c r="B64" t="s">
        <v>62</v>
      </c>
    </row>
    <row r="65" spans="1:58">
      <c r="B65" t="s">
        <v>6542</v>
      </c>
      <c r="R65" t="s">
        <v>1425</v>
      </c>
    </row>
    <row r="66" spans="1:58">
      <c r="B66" t="s">
        <v>31</v>
      </c>
      <c r="E66" t="s">
        <v>1426</v>
      </c>
      <c r="H66" t="s">
        <v>336</v>
      </c>
    </row>
    <row r="67" spans="1:58">
      <c r="A67" t="s">
        <v>236</v>
      </c>
      <c r="B67" t="s">
        <v>6543</v>
      </c>
      <c r="K67" t="s">
        <v>6544</v>
      </c>
      <c r="L67" t="s">
        <v>1278</v>
      </c>
      <c r="M67" t="s">
        <v>1279</v>
      </c>
      <c r="N67" t="s">
        <v>1280</v>
      </c>
      <c r="O67" t="s">
        <v>6545</v>
      </c>
      <c r="P67" t="s">
        <v>6546</v>
      </c>
      <c r="R67" t="s">
        <v>6547</v>
      </c>
      <c r="T67" t="s">
        <v>6548</v>
      </c>
      <c r="V67" t="s">
        <v>6549</v>
      </c>
      <c r="X67" t="s">
        <v>6550</v>
      </c>
      <c r="Z67" t="s">
        <v>6551</v>
      </c>
      <c r="AB67" t="s">
        <v>6552</v>
      </c>
      <c r="AD67" t="s">
        <v>6553</v>
      </c>
      <c r="AF67" t="s">
        <v>6554</v>
      </c>
      <c r="AH67" t="s">
        <v>6555</v>
      </c>
      <c r="AJ67" t="s">
        <v>830</v>
      </c>
      <c r="AL67" t="s">
        <v>6556</v>
      </c>
      <c r="AN67" t="s">
        <v>6557</v>
      </c>
      <c r="AP67" t="s">
        <v>6558</v>
      </c>
      <c r="AQ67" t="s">
        <v>6559</v>
      </c>
    </row>
    <row r="68" spans="1:58">
      <c r="B68" t="s">
        <v>6542</v>
      </c>
    </row>
    <row r="69" spans="1:58">
      <c r="B69" t="s">
        <v>6560</v>
      </c>
      <c r="R69" t="s">
        <v>6561</v>
      </c>
      <c r="T69" t="s">
        <v>6562</v>
      </c>
      <c r="V69" t="s">
        <v>6563</v>
      </c>
      <c r="X69" t="s">
        <v>6564</v>
      </c>
      <c r="Z69" t="s">
        <v>6565</v>
      </c>
      <c r="AB69" t="s">
        <v>6566</v>
      </c>
      <c r="AD69" t="s">
        <v>6567</v>
      </c>
      <c r="AF69" t="s">
        <v>6568</v>
      </c>
      <c r="AH69" t="s">
        <v>6569</v>
      </c>
      <c r="AJ69" t="s">
        <v>6570</v>
      </c>
      <c r="AL69" t="s">
        <v>6571</v>
      </c>
      <c r="AN69" t="s">
        <v>6572</v>
      </c>
      <c r="AP69" t="s">
        <v>6573</v>
      </c>
      <c r="AQ69" t="s">
        <v>6574</v>
      </c>
    </row>
    <row r="70" spans="1:58">
      <c r="B70" t="s">
        <v>6542</v>
      </c>
    </row>
    <row r="71" spans="1:58">
      <c r="B71" t="s">
        <v>31</v>
      </c>
      <c r="E71" t="s">
        <v>1426</v>
      </c>
      <c r="H71" t="s">
        <v>364</v>
      </c>
      <c r="AH71" t="s">
        <v>6575</v>
      </c>
    </row>
    <row r="72" spans="1:58">
      <c r="B72" t="s">
        <v>31</v>
      </c>
    </row>
    <row r="73" spans="1:58">
      <c r="B73" t="s">
        <v>31</v>
      </c>
      <c r="H73" t="s">
        <v>365</v>
      </c>
      <c r="I73" t="s">
        <v>6576</v>
      </c>
    </row>
    <row r="74" spans="1:58">
      <c r="B74" t="s">
        <v>6577</v>
      </c>
      <c r="I74" t="s">
        <v>1510</v>
      </c>
      <c r="R74" t="s">
        <v>6578</v>
      </c>
      <c r="AU74" t="s">
        <v>301</v>
      </c>
      <c r="AV74" t="s">
        <v>1319</v>
      </c>
      <c r="AW74" t="s">
        <v>1320</v>
      </c>
      <c r="AX74" t="s">
        <v>1321</v>
      </c>
      <c r="AY74" t="s">
        <v>1322</v>
      </c>
      <c r="AZ74" t="s">
        <v>327</v>
      </c>
      <c r="BA74" t="s">
        <v>328</v>
      </c>
      <c r="BB74" t="s">
        <v>329</v>
      </c>
      <c r="BC74" t="s">
        <v>330</v>
      </c>
      <c r="BD74" t="s">
        <v>289</v>
      </c>
      <c r="BE74" t="s">
        <v>331</v>
      </c>
      <c r="BF74" t="s">
        <v>332</v>
      </c>
    </row>
    <row r="75" spans="1:58">
      <c r="A75" t="s">
        <v>236</v>
      </c>
      <c r="B75" t="s">
        <v>6579</v>
      </c>
      <c r="I75" t="s">
        <v>6003</v>
      </c>
      <c r="K75" t="s">
        <v>6580</v>
      </c>
      <c r="L75" t="s">
        <v>1278</v>
      </c>
      <c r="M75" t="s">
        <v>1279</v>
      </c>
      <c r="N75" t="s">
        <v>1280</v>
      </c>
      <c r="O75" t="s">
        <v>6581</v>
      </c>
      <c r="P75" t="s">
        <v>6582</v>
      </c>
      <c r="R75" t="s">
        <v>6583</v>
      </c>
      <c r="T75" t="s">
        <v>6584</v>
      </c>
      <c r="V75" t="s">
        <v>6585</v>
      </c>
      <c r="X75" t="s">
        <v>6586</v>
      </c>
      <c r="Z75" t="s">
        <v>6587</v>
      </c>
      <c r="AB75" t="s">
        <v>6588</v>
      </c>
      <c r="AD75" t="s">
        <v>6589</v>
      </c>
      <c r="AF75" t="s">
        <v>6590</v>
      </c>
      <c r="AH75" t="s">
        <v>6591</v>
      </c>
      <c r="AJ75" t="s">
        <v>830</v>
      </c>
      <c r="AL75" t="s">
        <v>6592</v>
      </c>
      <c r="AN75" t="s">
        <v>6593</v>
      </c>
      <c r="AP75" t="s">
        <v>6594</v>
      </c>
      <c r="AQ75" t="s">
        <v>6595</v>
      </c>
    </row>
    <row r="76" spans="1:58">
      <c r="B76" t="s">
        <v>31</v>
      </c>
      <c r="I76" t="s">
        <v>6006</v>
      </c>
    </row>
    <row r="77" spans="1:58">
      <c r="B77" t="s">
        <v>6577</v>
      </c>
      <c r="I77" t="s">
        <v>6023</v>
      </c>
      <c r="R77" t="s">
        <v>6596</v>
      </c>
      <c r="T77" t="s">
        <v>6597</v>
      </c>
      <c r="V77" t="s">
        <v>6598</v>
      </c>
      <c r="X77" t="s">
        <v>6599</v>
      </c>
      <c r="Z77" t="s">
        <v>6600</v>
      </c>
      <c r="AB77" t="s">
        <v>6601</v>
      </c>
      <c r="AD77" t="s">
        <v>6602</v>
      </c>
      <c r="AF77" t="s">
        <v>6603</v>
      </c>
      <c r="AH77" t="s">
        <v>6604</v>
      </c>
      <c r="AJ77" t="s">
        <v>6605</v>
      </c>
      <c r="AL77" t="s">
        <v>6606</v>
      </c>
      <c r="AN77" t="s">
        <v>6607</v>
      </c>
      <c r="AP77" t="s">
        <v>6608</v>
      </c>
      <c r="AQ77" t="s">
        <v>6609</v>
      </c>
      <c r="AU77" t="s">
        <v>6610</v>
      </c>
      <c r="AV77" t="s">
        <v>6611</v>
      </c>
      <c r="AW77" t="s">
        <v>6612</v>
      </c>
      <c r="AX77" t="s">
        <v>6613</v>
      </c>
      <c r="AY77" t="s">
        <v>6614</v>
      </c>
      <c r="AZ77" t="s">
        <v>6615</v>
      </c>
      <c r="BA77" t="s">
        <v>6616</v>
      </c>
      <c r="BB77" t="s">
        <v>6617</v>
      </c>
      <c r="BC77" t="s">
        <v>6618</v>
      </c>
      <c r="BD77" t="s">
        <v>6619</v>
      </c>
      <c r="BE77" t="s">
        <v>6620</v>
      </c>
      <c r="BF77" t="s">
        <v>6621</v>
      </c>
    </row>
    <row r="78" spans="1:58">
      <c r="B78" t="s">
        <v>6622</v>
      </c>
      <c r="I78" t="s">
        <v>6024</v>
      </c>
    </row>
    <row r="79" spans="1:58">
      <c r="B79" t="s">
        <v>31</v>
      </c>
    </row>
    <row r="80" spans="1:58">
      <c r="B80" t="s">
        <v>31</v>
      </c>
      <c r="R80" t="s">
        <v>437</v>
      </c>
      <c r="T80" t="s">
        <v>6623</v>
      </c>
      <c r="V80" t="s">
        <v>6624</v>
      </c>
      <c r="X80" t="s">
        <v>6625</v>
      </c>
      <c r="Z80" t="s">
        <v>6626</v>
      </c>
      <c r="AB80" t="s">
        <v>6627</v>
      </c>
      <c r="AD80" t="s">
        <v>6628</v>
      </c>
      <c r="AF80" t="s">
        <v>6629</v>
      </c>
      <c r="AH80" t="s">
        <v>6630</v>
      </c>
      <c r="AJ80" t="s">
        <v>6631</v>
      </c>
      <c r="AL80" t="s">
        <v>6632</v>
      </c>
      <c r="AN80" t="s">
        <v>6633</v>
      </c>
      <c r="AP80" t="s">
        <v>6634</v>
      </c>
    </row>
    <row r="81" spans="1:43">
      <c r="B81" t="s">
        <v>31</v>
      </c>
      <c r="E81" t="s">
        <v>438</v>
      </c>
      <c r="AH81" t="s">
        <v>6635</v>
      </c>
    </row>
    <row r="82" spans="1:43">
      <c r="B82" t="s">
        <v>3524</v>
      </c>
      <c r="R82" t="s">
        <v>439</v>
      </c>
    </row>
    <row r="83" spans="1:43">
      <c r="A83" t="s">
        <v>236</v>
      </c>
      <c r="B83" t="s">
        <v>3495</v>
      </c>
      <c r="K83" t="s">
        <v>6636</v>
      </c>
      <c r="L83" t="s">
        <v>1278</v>
      </c>
      <c r="M83" t="s">
        <v>1279</v>
      </c>
      <c r="N83" t="s">
        <v>1280</v>
      </c>
      <c r="O83" t="s">
        <v>6637</v>
      </c>
      <c r="P83" t="s">
        <v>3498</v>
      </c>
      <c r="R83" t="s">
        <v>6638</v>
      </c>
      <c r="T83" t="s">
        <v>6639</v>
      </c>
      <c r="V83" t="s">
        <v>6640</v>
      </c>
      <c r="X83" t="s">
        <v>6641</v>
      </c>
      <c r="Z83" t="s">
        <v>6642</v>
      </c>
      <c r="AB83" t="s">
        <v>6643</v>
      </c>
      <c r="AD83" t="s">
        <v>6644</v>
      </c>
      <c r="AF83" t="s">
        <v>6645</v>
      </c>
      <c r="AH83" t="s">
        <v>6646</v>
      </c>
      <c r="AJ83" t="s">
        <v>830</v>
      </c>
      <c r="AL83" t="s">
        <v>3508</v>
      </c>
      <c r="AN83" t="s">
        <v>6647</v>
      </c>
      <c r="AP83" t="s">
        <v>3510</v>
      </c>
      <c r="AQ83" t="s">
        <v>3511</v>
      </c>
    </row>
    <row r="84" spans="1:43">
      <c r="B84" t="s">
        <v>31</v>
      </c>
    </row>
    <row r="85" spans="1:43">
      <c r="B85" t="s">
        <v>3524</v>
      </c>
      <c r="R85" t="s">
        <v>440</v>
      </c>
      <c r="T85" t="s">
        <v>6648</v>
      </c>
      <c r="V85" t="s">
        <v>6649</v>
      </c>
      <c r="X85" t="s">
        <v>6650</v>
      </c>
      <c r="Z85" t="s">
        <v>6651</v>
      </c>
      <c r="AB85" t="s">
        <v>6652</v>
      </c>
      <c r="AD85" t="s">
        <v>6653</v>
      </c>
      <c r="AF85" t="s">
        <v>6654</v>
      </c>
      <c r="AH85" t="s">
        <v>6655</v>
      </c>
      <c r="AJ85" t="s">
        <v>6656</v>
      </c>
      <c r="AL85" t="s">
        <v>6657</v>
      </c>
      <c r="AN85" t="s">
        <v>6658</v>
      </c>
      <c r="AP85" t="s">
        <v>6659</v>
      </c>
      <c r="AQ85" t="s">
        <v>3540</v>
      </c>
    </row>
    <row r="86" spans="1:43">
      <c r="B86" t="s">
        <v>6660</v>
      </c>
      <c r="E86" t="s">
        <v>1556</v>
      </c>
      <c r="H86" t="s">
        <v>441</v>
      </c>
    </row>
    <row r="87" spans="1:43">
      <c r="B87" t="s">
        <v>3634</v>
      </c>
      <c r="R87" t="s">
        <v>166</v>
      </c>
    </row>
    <row r="88" spans="1:43">
      <c r="A88" t="s">
        <v>236</v>
      </c>
      <c r="B88" t="s">
        <v>1589</v>
      </c>
      <c r="K88" t="s">
        <v>6661</v>
      </c>
      <c r="L88" t="s">
        <v>1278</v>
      </c>
      <c r="M88" t="s">
        <v>1279</v>
      </c>
      <c r="N88" t="s">
        <v>1280</v>
      </c>
      <c r="O88" t="s">
        <v>6662</v>
      </c>
      <c r="P88" t="s">
        <v>3575</v>
      </c>
      <c r="R88" t="s">
        <v>6663</v>
      </c>
      <c r="T88" t="s">
        <v>6664</v>
      </c>
      <c r="V88" t="s">
        <v>6665</v>
      </c>
      <c r="X88" t="s">
        <v>6666</v>
      </c>
      <c r="Z88" t="s">
        <v>6667</v>
      </c>
      <c r="AB88" t="s">
        <v>6668</v>
      </c>
      <c r="AD88" t="s">
        <v>6669</v>
      </c>
      <c r="AF88" t="s">
        <v>6670</v>
      </c>
      <c r="AH88" t="s">
        <v>6671</v>
      </c>
      <c r="AJ88" t="s">
        <v>830</v>
      </c>
      <c r="AL88" t="s">
        <v>3585</v>
      </c>
      <c r="AN88" t="s">
        <v>6672</v>
      </c>
      <c r="AP88" t="s">
        <v>3587</v>
      </c>
      <c r="AQ88" t="s">
        <v>1603</v>
      </c>
    </row>
    <row r="89" spans="1:43">
      <c r="A89" t="s">
        <v>311</v>
      </c>
      <c r="B89" t="s">
        <v>3588</v>
      </c>
      <c r="K89" t="s">
        <v>6088</v>
      </c>
      <c r="L89" t="s">
        <v>1278</v>
      </c>
      <c r="M89" t="s">
        <v>1279</v>
      </c>
      <c r="N89" t="s">
        <v>1280</v>
      </c>
      <c r="O89" t="s">
        <v>6077</v>
      </c>
      <c r="P89" t="s">
        <v>3591</v>
      </c>
      <c r="R89" t="s">
        <v>6078</v>
      </c>
      <c r="T89" t="s">
        <v>6673</v>
      </c>
      <c r="V89" t="s">
        <v>6674</v>
      </c>
      <c r="X89" t="s">
        <v>6675</v>
      </c>
      <c r="Z89" t="s">
        <v>6676</v>
      </c>
      <c r="AB89" t="s">
        <v>6677</v>
      </c>
      <c r="AD89" t="s">
        <v>6678</v>
      </c>
      <c r="AF89" t="s">
        <v>6679</v>
      </c>
      <c r="AH89" t="s">
        <v>6680</v>
      </c>
      <c r="AJ89" t="s">
        <v>830</v>
      </c>
      <c r="AL89" t="s">
        <v>3601</v>
      </c>
      <c r="AN89" t="s">
        <v>6681</v>
      </c>
      <c r="AP89" t="s">
        <v>3603</v>
      </c>
      <c r="AQ89" t="s">
        <v>3604</v>
      </c>
    </row>
    <row r="90" spans="1:43">
      <c r="A90" t="s">
        <v>311</v>
      </c>
      <c r="B90" t="s">
        <v>3605</v>
      </c>
      <c r="K90" t="s">
        <v>6100</v>
      </c>
      <c r="L90" t="s">
        <v>1278</v>
      </c>
      <c r="M90" t="s">
        <v>1279</v>
      </c>
      <c r="N90" t="s">
        <v>1280</v>
      </c>
      <c r="O90" t="s">
        <v>6089</v>
      </c>
      <c r="P90" t="s">
        <v>3608</v>
      </c>
      <c r="R90" t="s">
        <v>6090</v>
      </c>
      <c r="T90" t="s">
        <v>6682</v>
      </c>
      <c r="V90" t="s">
        <v>6683</v>
      </c>
      <c r="X90" t="s">
        <v>6684</v>
      </c>
      <c r="Z90" t="s">
        <v>6685</v>
      </c>
      <c r="AB90" t="s">
        <v>6686</v>
      </c>
      <c r="AD90" t="s">
        <v>6687</v>
      </c>
      <c r="AF90" t="s">
        <v>6688</v>
      </c>
      <c r="AH90" t="s">
        <v>6689</v>
      </c>
      <c r="AJ90" t="s">
        <v>830</v>
      </c>
      <c r="AL90" t="s">
        <v>3618</v>
      </c>
      <c r="AN90" t="s">
        <v>6690</v>
      </c>
      <c r="AP90" t="s">
        <v>3620</v>
      </c>
      <c r="AQ90" t="s">
        <v>3621</v>
      </c>
    </row>
    <row r="91" spans="1:43">
      <c r="B91" t="s">
        <v>31</v>
      </c>
    </row>
    <row r="92" spans="1:43">
      <c r="B92" t="s">
        <v>3634</v>
      </c>
      <c r="R92" t="s">
        <v>444</v>
      </c>
      <c r="T92" t="s">
        <v>6691</v>
      </c>
      <c r="V92" t="s">
        <v>6692</v>
      </c>
      <c r="X92" t="s">
        <v>6693</v>
      </c>
      <c r="Z92" t="s">
        <v>6694</v>
      </c>
      <c r="AB92" t="s">
        <v>6695</v>
      </c>
      <c r="AD92" t="s">
        <v>6696</v>
      </c>
      <c r="AF92" t="s">
        <v>6697</v>
      </c>
      <c r="AH92" t="s">
        <v>6698</v>
      </c>
      <c r="AJ92" t="s">
        <v>6699</v>
      </c>
      <c r="AL92" t="s">
        <v>6700</v>
      </c>
      <c r="AN92" t="s">
        <v>6701</v>
      </c>
      <c r="AP92" t="s">
        <v>6702</v>
      </c>
      <c r="AQ92" t="s">
        <v>3650</v>
      </c>
    </row>
    <row r="93" spans="1:43">
      <c r="B93" t="s">
        <v>6703</v>
      </c>
    </row>
    <row r="94" spans="1:43">
      <c r="B94" t="s">
        <v>3666</v>
      </c>
      <c r="R94" t="s">
        <v>1590</v>
      </c>
      <c r="T94" t="s">
        <v>6704</v>
      </c>
      <c r="V94" t="s">
        <v>6705</v>
      </c>
      <c r="X94" t="s">
        <v>6706</v>
      </c>
      <c r="Z94" t="s">
        <v>6707</v>
      </c>
      <c r="AB94" t="s">
        <v>6708</v>
      </c>
      <c r="AD94" t="s">
        <v>6709</v>
      </c>
      <c r="AF94" t="s">
        <v>6710</v>
      </c>
      <c r="AH94" t="s">
        <v>6711</v>
      </c>
      <c r="AJ94" t="s">
        <v>6712</v>
      </c>
      <c r="AL94" t="s">
        <v>6713</v>
      </c>
      <c r="AN94" t="s">
        <v>6714</v>
      </c>
      <c r="AP94" t="s">
        <v>6715</v>
      </c>
      <c r="AQ94" t="s">
        <v>3682</v>
      </c>
    </row>
    <row r="95" spans="1:43">
      <c r="B95" t="s">
        <v>6135</v>
      </c>
      <c r="E95" t="s">
        <v>1556</v>
      </c>
      <c r="H95" t="s">
        <v>1605</v>
      </c>
    </row>
    <row r="96" spans="1:43">
      <c r="B96" t="s">
        <v>3749</v>
      </c>
      <c r="R96" t="s">
        <v>445</v>
      </c>
    </row>
    <row r="97" spans="1:43">
      <c r="A97" t="s">
        <v>236</v>
      </c>
      <c r="B97" t="s">
        <v>3716</v>
      </c>
      <c r="K97" t="s">
        <v>6716</v>
      </c>
      <c r="L97" t="s">
        <v>1278</v>
      </c>
      <c r="M97" t="s">
        <v>1279</v>
      </c>
      <c r="N97" t="s">
        <v>1280</v>
      </c>
      <c r="O97" t="s">
        <v>6717</v>
      </c>
      <c r="P97" t="s">
        <v>3719</v>
      </c>
      <c r="R97" t="s">
        <v>6718</v>
      </c>
      <c r="T97" t="s">
        <v>6719</v>
      </c>
      <c r="V97" t="s">
        <v>6720</v>
      </c>
      <c r="X97" t="s">
        <v>6721</v>
      </c>
      <c r="Z97" t="s">
        <v>6722</v>
      </c>
      <c r="AB97" t="s">
        <v>6723</v>
      </c>
      <c r="AD97" t="s">
        <v>6724</v>
      </c>
      <c r="AF97" t="s">
        <v>6725</v>
      </c>
      <c r="AH97" t="s">
        <v>6726</v>
      </c>
      <c r="AJ97" t="s">
        <v>830</v>
      </c>
      <c r="AL97" t="s">
        <v>3729</v>
      </c>
      <c r="AN97" t="s">
        <v>6727</v>
      </c>
      <c r="AP97" t="s">
        <v>3731</v>
      </c>
      <c r="AQ97" t="s">
        <v>3732</v>
      </c>
    </row>
    <row r="98" spans="1:43">
      <c r="B98" t="s">
        <v>31</v>
      </c>
    </row>
    <row r="99" spans="1:43">
      <c r="B99" t="s">
        <v>3749</v>
      </c>
      <c r="R99" t="s">
        <v>448</v>
      </c>
      <c r="T99" t="s">
        <v>6728</v>
      </c>
      <c r="V99" t="s">
        <v>6729</v>
      </c>
      <c r="X99" t="s">
        <v>6730</v>
      </c>
      <c r="Z99" t="s">
        <v>6731</v>
      </c>
      <c r="AB99" t="s">
        <v>6732</v>
      </c>
      <c r="AD99" t="s">
        <v>6733</v>
      </c>
      <c r="AF99" t="s">
        <v>6734</v>
      </c>
      <c r="AH99" t="s">
        <v>6735</v>
      </c>
      <c r="AJ99" t="s">
        <v>6736</v>
      </c>
      <c r="AL99" t="s">
        <v>6737</v>
      </c>
      <c r="AN99" t="s">
        <v>6738</v>
      </c>
      <c r="AP99" t="s">
        <v>6739</v>
      </c>
      <c r="AQ99" t="s">
        <v>3765</v>
      </c>
    </row>
    <row r="100" spans="1:43">
      <c r="B100" t="s">
        <v>6740</v>
      </c>
    </row>
    <row r="101" spans="1:43">
      <c r="B101" t="s">
        <v>62</v>
      </c>
      <c r="N101" t="s">
        <v>6741</v>
      </c>
      <c r="R101" t="s">
        <v>6742</v>
      </c>
      <c r="T101" t="s">
        <v>6743</v>
      </c>
      <c r="V101" t="s">
        <v>6744</v>
      </c>
      <c r="X101" t="s">
        <v>6745</v>
      </c>
      <c r="Z101" t="s">
        <v>6746</v>
      </c>
      <c r="AB101" t="s">
        <v>6747</v>
      </c>
      <c r="AD101" t="s">
        <v>6748</v>
      </c>
      <c r="AF101" t="s">
        <v>6749</v>
      </c>
      <c r="AH101" t="s">
        <v>6750</v>
      </c>
      <c r="AJ101" t="s">
        <v>6751</v>
      </c>
      <c r="AL101" t="s">
        <v>6752</v>
      </c>
      <c r="AN101" t="s">
        <v>6753</v>
      </c>
      <c r="AP101" t="s">
        <v>6754</v>
      </c>
      <c r="AQ101" t="s">
        <v>3799</v>
      </c>
    </row>
    <row r="102" spans="1:43">
      <c r="B102" t="s">
        <v>62</v>
      </c>
    </row>
    <row r="103" spans="1:43">
      <c r="B103" t="s">
        <v>6755</v>
      </c>
      <c r="R103" t="s">
        <v>1654</v>
      </c>
    </row>
    <row r="104" spans="1:43">
      <c r="B104" t="s">
        <v>62</v>
      </c>
      <c r="R104" t="s">
        <v>1655</v>
      </c>
      <c r="T104" t="s">
        <v>6756</v>
      </c>
      <c r="V104" t="s">
        <v>6757</v>
      </c>
      <c r="X104" t="s">
        <v>6758</v>
      </c>
      <c r="Z104" t="s">
        <v>6759</v>
      </c>
      <c r="AB104" t="s">
        <v>6760</v>
      </c>
      <c r="AD104" t="s">
        <v>6761</v>
      </c>
      <c r="AF104" t="s">
        <v>6762</v>
      </c>
      <c r="AH104" t="s">
        <v>6763</v>
      </c>
      <c r="AJ104" t="s">
        <v>6764</v>
      </c>
      <c r="AL104" t="s">
        <v>6765</v>
      </c>
      <c r="AN104" t="s">
        <v>6766</v>
      </c>
      <c r="AP104" t="s">
        <v>6767</v>
      </c>
      <c r="AQ104" t="s">
        <v>1697</v>
      </c>
    </row>
    <row r="105" spans="1:43">
      <c r="B105" t="s">
        <v>62</v>
      </c>
    </row>
    <row r="106" spans="1:43">
      <c r="B106" t="s">
        <v>31</v>
      </c>
    </row>
    <row r="107" spans="1:43">
      <c r="B107" t="s">
        <v>31</v>
      </c>
      <c r="T107" t="s">
        <v>6768</v>
      </c>
      <c r="V107" t="s">
        <v>6769</v>
      </c>
      <c r="X107" t="s">
        <v>6770</v>
      </c>
      <c r="Z107" t="s">
        <v>6771</v>
      </c>
      <c r="AB107" t="s">
        <v>6772</v>
      </c>
      <c r="AD107" t="s">
        <v>6773</v>
      </c>
      <c r="AF107" t="s">
        <v>6774</v>
      </c>
      <c r="AH107" t="s">
        <v>6775</v>
      </c>
      <c r="AJ107" t="s">
        <v>830</v>
      </c>
      <c r="AL107" t="s">
        <v>830</v>
      </c>
      <c r="AN107" t="s">
        <v>6776</v>
      </c>
      <c r="AP107" t="s">
        <v>6777</v>
      </c>
    </row>
    <row r="108" spans="1:43">
      <c r="B108" t="s">
        <v>6778</v>
      </c>
      <c r="E108" t="s">
        <v>451</v>
      </c>
      <c r="R108" t="s">
        <v>452</v>
      </c>
    </row>
    <row r="109" spans="1:43">
      <c r="B109" t="s">
        <v>6779</v>
      </c>
    </row>
    <row r="110" spans="1:43">
      <c r="A110" t="s">
        <v>236</v>
      </c>
      <c r="B110" t="s">
        <v>6780</v>
      </c>
      <c r="K110" t="s">
        <v>6781</v>
      </c>
      <c r="L110" t="s">
        <v>1278</v>
      </c>
      <c r="M110" t="s">
        <v>1279</v>
      </c>
      <c r="N110" t="s">
        <v>1280</v>
      </c>
      <c r="O110" t="s">
        <v>6782</v>
      </c>
      <c r="P110" t="s">
        <v>6783</v>
      </c>
      <c r="R110" t="s">
        <v>6784</v>
      </c>
      <c r="T110" t="s">
        <v>6785</v>
      </c>
      <c r="V110" t="s">
        <v>6786</v>
      </c>
      <c r="X110" t="s">
        <v>6787</v>
      </c>
      <c r="Z110" t="s">
        <v>6788</v>
      </c>
      <c r="AB110" t="s">
        <v>6789</v>
      </c>
      <c r="AD110" t="s">
        <v>6790</v>
      </c>
      <c r="AF110" t="s">
        <v>6791</v>
      </c>
      <c r="AH110" t="s">
        <v>6792</v>
      </c>
      <c r="AJ110" t="s">
        <v>830</v>
      </c>
      <c r="AL110" t="s">
        <v>6793</v>
      </c>
      <c r="AN110" t="s">
        <v>6794</v>
      </c>
      <c r="AP110" t="s">
        <v>6795</v>
      </c>
      <c r="AQ110" t="s">
        <v>6796</v>
      </c>
    </row>
    <row r="111" spans="1:43">
      <c r="A111" t="s">
        <v>311</v>
      </c>
      <c r="B111" t="s">
        <v>3817</v>
      </c>
      <c r="K111" t="s">
        <v>5661</v>
      </c>
      <c r="L111" t="s">
        <v>1278</v>
      </c>
      <c r="M111" t="s">
        <v>1279</v>
      </c>
      <c r="N111" t="s">
        <v>1280</v>
      </c>
      <c r="O111" t="s">
        <v>6797</v>
      </c>
      <c r="P111" t="s">
        <v>6798</v>
      </c>
      <c r="R111" t="s">
        <v>6799</v>
      </c>
      <c r="T111" t="s">
        <v>6800</v>
      </c>
      <c r="V111" t="s">
        <v>6801</v>
      </c>
      <c r="X111" t="s">
        <v>6802</v>
      </c>
      <c r="Z111" t="s">
        <v>6803</v>
      </c>
      <c r="AB111" t="s">
        <v>6804</v>
      </c>
      <c r="AD111" t="s">
        <v>6805</v>
      </c>
      <c r="AF111" t="s">
        <v>6806</v>
      </c>
      <c r="AH111" t="s">
        <v>6807</v>
      </c>
      <c r="AJ111" t="s">
        <v>830</v>
      </c>
      <c r="AL111" t="s">
        <v>6808</v>
      </c>
      <c r="AN111" t="s">
        <v>6809</v>
      </c>
      <c r="AP111" t="s">
        <v>6810</v>
      </c>
      <c r="AQ111" t="s">
        <v>1755</v>
      </c>
    </row>
    <row r="112" spans="1:43">
      <c r="A112" t="s">
        <v>311</v>
      </c>
      <c r="B112" t="s">
        <v>6213</v>
      </c>
      <c r="K112" t="s">
        <v>6246</v>
      </c>
      <c r="L112" t="s">
        <v>1278</v>
      </c>
      <c r="M112" t="s">
        <v>1279</v>
      </c>
      <c r="N112" t="s">
        <v>1280</v>
      </c>
      <c r="O112" t="s">
        <v>6215</v>
      </c>
      <c r="P112" t="s">
        <v>6216</v>
      </c>
      <c r="R112" t="s">
        <v>6217</v>
      </c>
      <c r="T112" t="s">
        <v>6218</v>
      </c>
      <c r="V112" t="s">
        <v>6219</v>
      </c>
      <c r="X112" t="s">
        <v>6220</v>
      </c>
      <c r="Z112" t="s">
        <v>6221</v>
      </c>
      <c r="AB112" t="s">
        <v>6222</v>
      </c>
      <c r="AD112" t="s">
        <v>6223</v>
      </c>
      <c r="AF112" t="s">
        <v>6224</v>
      </c>
      <c r="AH112" t="s">
        <v>6225</v>
      </c>
      <c r="AJ112" t="s">
        <v>830</v>
      </c>
      <c r="AL112" t="s">
        <v>6226</v>
      </c>
      <c r="AN112" t="s">
        <v>6227</v>
      </c>
      <c r="AP112" t="s">
        <v>6228</v>
      </c>
      <c r="AQ112" t="s">
        <v>6229</v>
      </c>
    </row>
    <row r="113" spans="1:43">
      <c r="B113" t="s">
        <v>31</v>
      </c>
    </row>
    <row r="114" spans="1:43">
      <c r="B114" t="s">
        <v>31</v>
      </c>
      <c r="T114" t="s">
        <v>6811</v>
      </c>
      <c r="V114" t="s">
        <v>6812</v>
      </c>
      <c r="X114" t="s">
        <v>6813</v>
      </c>
      <c r="Z114" t="s">
        <v>6814</v>
      </c>
      <c r="AB114" t="s">
        <v>6815</v>
      </c>
      <c r="AD114" t="s">
        <v>6816</v>
      </c>
      <c r="AF114" t="s">
        <v>6817</v>
      </c>
      <c r="AH114" t="s">
        <v>6818</v>
      </c>
      <c r="AJ114" t="s">
        <v>6819</v>
      </c>
      <c r="AL114" t="s">
        <v>6820</v>
      </c>
      <c r="AN114" t="s">
        <v>6821</v>
      </c>
      <c r="AP114" t="s">
        <v>6822</v>
      </c>
      <c r="AQ114" t="s">
        <v>1769</v>
      </c>
    </row>
    <row r="115" spans="1:43">
      <c r="A115" t="s">
        <v>236</v>
      </c>
      <c r="B115" t="s">
        <v>6778</v>
      </c>
      <c r="K115" t="s">
        <v>1711</v>
      </c>
      <c r="L115" t="s">
        <v>1278</v>
      </c>
      <c r="M115" t="s">
        <v>1279</v>
      </c>
      <c r="N115" t="s">
        <v>1280</v>
      </c>
      <c r="O115" t="s">
        <v>3873</v>
      </c>
      <c r="P115" t="s">
        <v>1713</v>
      </c>
      <c r="R115" t="s">
        <v>457</v>
      </c>
      <c r="T115" t="s">
        <v>6823</v>
      </c>
      <c r="V115" t="s">
        <v>6824</v>
      </c>
      <c r="X115" t="s">
        <v>6825</v>
      </c>
      <c r="Z115" t="s">
        <v>6826</v>
      </c>
      <c r="AB115" t="s">
        <v>6827</v>
      </c>
      <c r="AD115" t="s">
        <v>6828</v>
      </c>
      <c r="AF115" t="s">
        <v>6829</v>
      </c>
      <c r="AH115" t="s">
        <v>6830</v>
      </c>
      <c r="AJ115" t="s">
        <v>6831</v>
      </c>
      <c r="AL115" t="s">
        <v>3883</v>
      </c>
      <c r="AN115" t="s">
        <v>6832</v>
      </c>
      <c r="AP115" t="s">
        <v>6833</v>
      </c>
      <c r="AQ115" t="s">
        <v>1779</v>
      </c>
    </row>
    <row r="116" spans="1:43">
      <c r="B116" t="s">
        <v>6834</v>
      </c>
    </row>
    <row r="117" spans="1:43">
      <c r="B117" t="s">
        <v>6835</v>
      </c>
      <c r="R117" t="s">
        <v>458</v>
      </c>
      <c r="T117" t="s">
        <v>6836</v>
      </c>
      <c r="V117" t="s">
        <v>6837</v>
      </c>
      <c r="X117" t="s">
        <v>6838</v>
      </c>
      <c r="Z117" t="s">
        <v>6839</v>
      </c>
      <c r="AB117" t="s">
        <v>6840</v>
      </c>
      <c r="AD117" t="s">
        <v>6841</v>
      </c>
      <c r="AF117" t="s">
        <v>6842</v>
      </c>
      <c r="AH117" t="s">
        <v>6843</v>
      </c>
      <c r="AJ117" t="s">
        <v>6844</v>
      </c>
      <c r="AL117" t="s">
        <v>6845</v>
      </c>
      <c r="AN117" t="s">
        <v>6846</v>
      </c>
      <c r="AP117" t="s">
        <v>6847</v>
      </c>
      <c r="AQ117" t="s">
        <v>3919</v>
      </c>
    </row>
    <row r="118" spans="1:43">
      <c r="B118" t="s">
        <v>6834</v>
      </c>
    </row>
    <row r="119" spans="1:43">
      <c r="B119" t="s">
        <v>62</v>
      </c>
      <c r="R119" t="s">
        <v>1742</v>
      </c>
      <c r="T119" t="s">
        <v>6848</v>
      </c>
      <c r="V119" t="s">
        <v>6849</v>
      </c>
      <c r="X119" t="s">
        <v>6850</v>
      </c>
      <c r="Z119" t="s">
        <v>6851</v>
      </c>
      <c r="AB119" t="s">
        <v>6852</v>
      </c>
      <c r="AD119" t="s">
        <v>6853</v>
      </c>
      <c r="AF119" t="s">
        <v>6854</v>
      </c>
      <c r="AH119" t="s">
        <v>6855</v>
      </c>
      <c r="AJ119" t="s">
        <v>6856</v>
      </c>
      <c r="AL119" t="s">
        <v>6857</v>
      </c>
      <c r="AN119" t="s">
        <v>6858</v>
      </c>
      <c r="AP119" t="s">
        <v>6859</v>
      </c>
      <c r="AQ119" t="s">
        <v>3953</v>
      </c>
    </row>
    <row r="120" spans="1:43">
      <c r="B120" t="s">
        <v>62</v>
      </c>
    </row>
    <row r="121" spans="1:43">
      <c r="B121" t="s">
        <v>31</v>
      </c>
      <c r="O121" t="s">
        <v>459</v>
      </c>
      <c r="P121" t="s">
        <v>1756</v>
      </c>
      <c r="R121" t="s">
        <v>460</v>
      </c>
      <c r="T121" t="s">
        <v>6860</v>
      </c>
      <c r="V121" t="s">
        <v>6861</v>
      </c>
      <c r="X121" t="s">
        <v>6862</v>
      </c>
      <c r="Z121" t="s">
        <v>6863</v>
      </c>
      <c r="AB121" t="s">
        <v>6864</v>
      </c>
      <c r="AD121" t="s">
        <v>6865</v>
      </c>
      <c r="AF121" t="s">
        <v>6866</v>
      </c>
      <c r="AH121" t="s">
        <v>6867</v>
      </c>
      <c r="AJ121" t="s">
        <v>830</v>
      </c>
      <c r="AL121" t="s">
        <v>6868</v>
      </c>
      <c r="AN121" t="s">
        <v>830</v>
      </c>
      <c r="AP121" t="s">
        <v>830</v>
      </c>
      <c r="AQ121" t="s">
        <v>3989</v>
      </c>
    </row>
    <row r="122" spans="1:43">
      <c r="B122" t="s">
        <v>31</v>
      </c>
      <c r="R122" t="s">
        <v>461</v>
      </c>
      <c r="T122" t="s">
        <v>830</v>
      </c>
      <c r="V122" t="s">
        <v>830</v>
      </c>
      <c r="X122" t="s">
        <v>830</v>
      </c>
      <c r="Z122" t="s">
        <v>830</v>
      </c>
      <c r="AB122" t="s">
        <v>830</v>
      </c>
      <c r="AF122" t="s">
        <v>6869</v>
      </c>
      <c r="AH122" t="s">
        <v>6870</v>
      </c>
      <c r="AJ122" t="s">
        <v>830</v>
      </c>
      <c r="AN122" t="s">
        <v>830</v>
      </c>
      <c r="AP122" t="s">
        <v>830</v>
      </c>
      <c r="AQ122" t="s">
        <v>4007</v>
      </c>
    </row>
    <row r="123" spans="1:43">
      <c r="B123" t="s">
        <v>31</v>
      </c>
      <c r="R123" t="s">
        <v>462</v>
      </c>
      <c r="T123" t="s">
        <v>6871</v>
      </c>
      <c r="V123" t="s">
        <v>6872</v>
      </c>
      <c r="X123" t="s">
        <v>6873</v>
      </c>
      <c r="Z123" t="s">
        <v>6874</v>
      </c>
      <c r="AB123" t="s">
        <v>6875</v>
      </c>
      <c r="AD123" t="s">
        <v>6876</v>
      </c>
      <c r="AF123" t="s">
        <v>6877</v>
      </c>
      <c r="AH123" t="s">
        <v>6878</v>
      </c>
      <c r="AJ123" t="s">
        <v>830</v>
      </c>
      <c r="AL123" t="s">
        <v>6879</v>
      </c>
      <c r="AN123" t="s">
        <v>830</v>
      </c>
      <c r="AP123" t="s">
        <v>830</v>
      </c>
      <c r="AQ123" t="s">
        <v>4025</v>
      </c>
    </row>
    <row r="124" spans="1:43">
      <c r="B124" t="s">
        <v>62</v>
      </c>
      <c r="O124" t="s">
        <v>459</v>
      </c>
      <c r="P124" t="s">
        <v>1756</v>
      </c>
      <c r="R124" t="s">
        <v>1780</v>
      </c>
      <c r="T124" t="s">
        <v>6880</v>
      </c>
      <c r="V124" t="s">
        <v>6881</v>
      </c>
      <c r="X124" t="s">
        <v>6882</v>
      </c>
      <c r="Z124" t="s">
        <v>6883</v>
      </c>
      <c r="AB124" t="s">
        <v>6884</v>
      </c>
      <c r="AD124" t="s">
        <v>6885</v>
      </c>
      <c r="AF124" t="s">
        <v>6886</v>
      </c>
      <c r="AH124" t="s">
        <v>6887</v>
      </c>
      <c r="AJ124" t="s">
        <v>830</v>
      </c>
      <c r="AL124" t="s">
        <v>6328</v>
      </c>
      <c r="AN124" t="s">
        <v>830</v>
      </c>
      <c r="AP124" t="s">
        <v>6888</v>
      </c>
      <c r="AQ124" t="s">
        <v>4042</v>
      </c>
    </row>
    <row r="125" spans="1:43">
      <c r="B125" t="s">
        <v>62</v>
      </c>
    </row>
    <row r="126" spans="1:43">
      <c r="B126" t="s">
        <v>62</v>
      </c>
      <c r="R126" t="s">
        <v>1792</v>
      </c>
      <c r="T126" t="s">
        <v>6889</v>
      </c>
      <c r="V126" t="s">
        <v>6890</v>
      </c>
      <c r="X126" t="s">
        <v>6891</v>
      </c>
      <c r="Z126" t="s">
        <v>6892</v>
      </c>
      <c r="AB126" t="s">
        <v>6893</v>
      </c>
      <c r="AD126" t="s">
        <v>6894</v>
      </c>
      <c r="AF126" t="s">
        <v>6895</v>
      </c>
      <c r="AH126" t="s">
        <v>6896</v>
      </c>
      <c r="AJ126" t="s">
        <v>6897</v>
      </c>
      <c r="AL126" t="s">
        <v>6898</v>
      </c>
      <c r="AN126" t="s">
        <v>6899</v>
      </c>
      <c r="AP126" t="s">
        <v>6900</v>
      </c>
      <c r="AQ126" t="s">
        <v>4076</v>
      </c>
    </row>
    <row r="127" spans="1:43">
      <c r="B127" t="s">
        <v>1089</v>
      </c>
    </row>
    <row r="128" spans="1:43">
      <c r="B128" t="s">
        <v>1864</v>
      </c>
      <c r="AQ128" t="s">
        <v>6901</v>
      </c>
    </row>
    <row r="129" spans="2:42">
      <c r="B129" t="s">
        <v>1873</v>
      </c>
    </row>
    <row r="130" spans="2:42">
      <c r="B130" t="s">
        <v>1882</v>
      </c>
      <c r="T130" t="s">
        <v>301</v>
      </c>
      <c r="V130" t="s">
        <v>1811</v>
      </c>
      <c r="X130" t="s">
        <v>1811</v>
      </c>
      <c r="Z130" t="s">
        <v>1811</v>
      </c>
      <c r="AB130" t="s">
        <v>1812</v>
      </c>
      <c r="AD130" t="s">
        <v>1813</v>
      </c>
      <c r="AF130" t="s">
        <v>1814</v>
      </c>
      <c r="AH130" t="s">
        <v>1815</v>
      </c>
      <c r="AJ130" t="s">
        <v>1816</v>
      </c>
      <c r="AL130" t="s">
        <v>1817</v>
      </c>
      <c r="AN130" t="s">
        <v>1818</v>
      </c>
      <c r="AP130" t="s">
        <v>1819</v>
      </c>
    </row>
    <row r="131" spans="2:42">
      <c r="B131" t="s">
        <v>6362</v>
      </c>
      <c r="T131" t="s">
        <v>1821</v>
      </c>
      <c r="V131" t="s">
        <v>1822</v>
      </c>
      <c r="X131" t="s">
        <v>1823</v>
      </c>
      <c r="Z131" t="s">
        <v>1824</v>
      </c>
      <c r="AB131" t="s">
        <v>1825</v>
      </c>
      <c r="AD131" t="s">
        <v>1826</v>
      </c>
      <c r="AF131" t="s">
        <v>1827</v>
      </c>
      <c r="AH131" t="s">
        <v>1828</v>
      </c>
      <c r="AJ131" t="s">
        <v>1829</v>
      </c>
      <c r="AL131" t="s">
        <v>1830</v>
      </c>
      <c r="AN131" t="s">
        <v>1831</v>
      </c>
      <c r="AP131" t="s">
        <v>1832</v>
      </c>
    </row>
    <row r="132" spans="2:42">
      <c r="B132" t="s">
        <v>6364</v>
      </c>
      <c r="T132" t="s">
        <v>1834</v>
      </c>
      <c r="V132" t="s">
        <v>1835</v>
      </c>
      <c r="X132" t="s">
        <v>1836</v>
      </c>
      <c r="Z132" t="s">
        <v>1837</v>
      </c>
      <c r="AB132" t="s">
        <v>1838</v>
      </c>
      <c r="AD132" t="s">
        <v>1839</v>
      </c>
      <c r="AF132" t="s">
        <v>1840</v>
      </c>
      <c r="AH132" t="s">
        <v>1841</v>
      </c>
      <c r="AJ132" t="s">
        <v>1842</v>
      </c>
      <c r="AL132" t="s">
        <v>1843</v>
      </c>
      <c r="AN132" t="s">
        <v>1844</v>
      </c>
      <c r="AP132" t="s">
        <v>1845</v>
      </c>
    </row>
    <row r="133" spans="2:42">
      <c r="B133" t="s">
        <v>6365</v>
      </c>
    </row>
    <row r="134" spans="2:42">
      <c r="B134" t="s">
        <v>6366</v>
      </c>
      <c r="P134" t="s">
        <v>463</v>
      </c>
      <c r="T134" t="s">
        <v>6902</v>
      </c>
      <c r="V134" t="s">
        <v>6903</v>
      </c>
      <c r="X134" t="s">
        <v>6904</v>
      </c>
      <c r="Z134" t="s">
        <v>6905</v>
      </c>
      <c r="AB134" t="s">
        <v>6906</v>
      </c>
      <c r="AD134" t="s">
        <v>6907</v>
      </c>
      <c r="AF134" t="s">
        <v>6908</v>
      </c>
      <c r="AH134" t="s">
        <v>6909</v>
      </c>
      <c r="AJ134" t="s">
        <v>830</v>
      </c>
      <c r="AL134" t="s">
        <v>830</v>
      </c>
      <c r="AN134" t="s">
        <v>830</v>
      </c>
      <c r="AP134" t="s">
        <v>830</v>
      </c>
    </row>
    <row r="135" spans="2:42">
      <c r="B135" t="s">
        <v>6367</v>
      </c>
      <c r="P135" t="s">
        <v>464</v>
      </c>
      <c r="T135" t="s">
        <v>6910</v>
      </c>
      <c r="V135" t="s">
        <v>6911</v>
      </c>
      <c r="X135" t="s">
        <v>6912</v>
      </c>
      <c r="Z135" t="s">
        <v>6913</v>
      </c>
      <c r="AB135" t="s">
        <v>6914</v>
      </c>
      <c r="AD135" t="s">
        <v>6915</v>
      </c>
      <c r="AF135" t="s">
        <v>6916</v>
      </c>
      <c r="AH135" t="s">
        <v>6917</v>
      </c>
      <c r="AJ135" t="s">
        <v>830</v>
      </c>
      <c r="AL135" t="s">
        <v>830</v>
      </c>
      <c r="AN135" t="s">
        <v>830</v>
      </c>
      <c r="AP135" t="s">
        <v>830</v>
      </c>
    </row>
    <row r="136" spans="2:42">
      <c r="B136" t="s">
        <v>1099</v>
      </c>
      <c r="P136" t="s">
        <v>451</v>
      </c>
      <c r="T136" t="s">
        <v>6918</v>
      </c>
      <c r="V136" t="s">
        <v>6919</v>
      </c>
      <c r="X136" t="s">
        <v>6920</v>
      </c>
      <c r="Z136" t="s">
        <v>6921</v>
      </c>
      <c r="AB136" t="s">
        <v>6922</v>
      </c>
      <c r="AD136" t="s">
        <v>6923</v>
      </c>
      <c r="AF136" t="s">
        <v>6924</v>
      </c>
      <c r="AH136" t="s">
        <v>6925</v>
      </c>
      <c r="AJ136" t="s">
        <v>830</v>
      </c>
      <c r="AL136" t="s">
        <v>830</v>
      </c>
      <c r="AN136" t="s">
        <v>830</v>
      </c>
      <c r="AP136" t="s">
        <v>830</v>
      </c>
    </row>
    <row r="137" spans="2:42">
      <c r="B137" t="s">
        <v>1100</v>
      </c>
      <c r="P137" t="s">
        <v>465</v>
      </c>
      <c r="T137" t="s">
        <v>6926</v>
      </c>
      <c r="V137" t="s">
        <v>6927</v>
      </c>
      <c r="X137" t="s">
        <v>6928</v>
      </c>
      <c r="Z137" t="s">
        <v>6929</v>
      </c>
      <c r="AB137" t="s">
        <v>6930</v>
      </c>
      <c r="AD137" t="s">
        <v>6931</v>
      </c>
      <c r="AF137" t="s">
        <v>6932</v>
      </c>
      <c r="AH137" t="s">
        <v>6933</v>
      </c>
      <c r="AJ137" t="s">
        <v>830</v>
      </c>
      <c r="AL137" t="s">
        <v>830</v>
      </c>
      <c r="AN137" t="s">
        <v>830</v>
      </c>
      <c r="AP137" t="s">
        <v>830</v>
      </c>
    </row>
    <row r="138" spans="2:42">
      <c r="B138" t="s">
        <v>1101</v>
      </c>
    </row>
    <row r="139" spans="2:42">
      <c r="B139" t="s">
        <v>6934</v>
      </c>
      <c r="R139" t="s">
        <v>6935</v>
      </c>
      <c r="V139" t="s">
        <v>6936</v>
      </c>
      <c r="X139" t="s">
        <v>6937</v>
      </c>
      <c r="Z139" t="s">
        <v>6938</v>
      </c>
      <c r="AB139" t="s">
        <v>6939</v>
      </c>
      <c r="AD139" t="s">
        <v>6940</v>
      </c>
      <c r="AF139" t="s">
        <v>6941</v>
      </c>
      <c r="AH139" t="s">
        <v>6942</v>
      </c>
      <c r="AN139" t="s">
        <v>6943</v>
      </c>
    </row>
    <row r="140" spans="2:42">
      <c r="B140" t="s">
        <v>31</v>
      </c>
    </row>
    <row r="141" spans="2:42">
      <c r="B141" t="s">
        <v>31</v>
      </c>
      <c r="T141" t="s">
        <v>461</v>
      </c>
      <c r="AD141" t="s">
        <v>466</v>
      </c>
      <c r="AF141" t="s">
        <v>466</v>
      </c>
    </row>
    <row r="142" spans="2:42">
      <c r="B142" t="s">
        <v>31</v>
      </c>
      <c r="P142" t="s">
        <v>463</v>
      </c>
      <c r="T142" t="s">
        <v>6944</v>
      </c>
      <c r="AD142" t="s">
        <v>6945</v>
      </c>
      <c r="AF142" t="s">
        <v>6946</v>
      </c>
    </row>
    <row r="143" spans="2:42">
      <c r="B143" t="s">
        <v>31</v>
      </c>
      <c r="P143" t="s">
        <v>464</v>
      </c>
      <c r="T143" t="s">
        <v>5837</v>
      </c>
      <c r="AD143" t="s">
        <v>6947</v>
      </c>
      <c r="AF143" t="s">
        <v>6948</v>
      </c>
    </row>
    <row r="144" spans="2:42">
      <c r="B144" t="s">
        <v>31</v>
      </c>
      <c r="P144" t="s">
        <v>451</v>
      </c>
      <c r="T144" t="s">
        <v>6949</v>
      </c>
      <c r="AD144" t="s">
        <v>6950</v>
      </c>
      <c r="AF144" t="s">
        <v>6951</v>
      </c>
    </row>
    <row r="145" spans="2:32">
      <c r="B145" t="s">
        <v>31</v>
      </c>
      <c r="AD145" t="s">
        <v>6952</v>
      </c>
      <c r="AF145" t="s">
        <v>6953</v>
      </c>
    </row>
    <row r="146" spans="2:32">
      <c r="B146" t="s">
        <v>1118</v>
      </c>
    </row>
    <row r="147" spans="2:32">
      <c r="B147" t="s">
        <v>1121</v>
      </c>
    </row>
    <row r="148" spans="2:32">
      <c r="B148" t="s">
        <v>1122</v>
      </c>
      <c r="P148" t="s">
        <v>1277</v>
      </c>
      <c r="R148" t="s">
        <v>467</v>
      </c>
      <c r="X148" t="s">
        <v>6954</v>
      </c>
      <c r="Z148" t="s">
        <v>6955</v>
      </c>
      <c r="AB148" t="s">
        <v>6956</v>
      </c>
    </row>
    <row r="149" spans="2:32">
      <c r="B149" t="s">
        <v>6420</v>
      </c>
      <c r="P149" t="s">
        <v>1907</v>
      </c>
      <c r="R149" t="s">
        <v>468</v>
      </c>
      <c r="V149" t="s">
        <v>1908</v>
      </c>
      <c r="X149" t="s">
        <v>6957</v>
      </c>
      <c r="Z149" t="s">
        <v>6958</v>
      </c>
      <c r="AB149" t="s">
        <v>6959</v>
      </c>
    </row>
    <row r="150" spans="2:32">
      <c r="B150" t="s">
        <v>6421</v>
      </c>
      <c r="P150" t="s">
        <v>556</v>
      </c>
      <c r="R150" t="s">
        <v>469</v>
      </c>
      <c r="V150" t="s">
        <v>1908</v>
      </c>
      <c r="X150" t="s">
        <v>6960</v>
      </c>
      <c r="Z150" t="s">
        <v>6961</v>
      </c>
      <c r="AB150" t="s">
        <v>6962</v>
      </c>
    </row>
    <row r="151" spans="2:32">
      <c r="B151" t="s">
        <v>6422</v>
      </c>
      <c r="P151" t="s">
        <v>1915</v>
      </c>
      <c r="R151" t="s">
        <v>439</v>
      </c>
      <c r="V151" t="s">
        <v>470</v>
      </c>
      <c r="X151" t="s">
        <v>6963</v>
      </c>
      <c r="Z151" t="s">
        <v>6964</v>
      </c>
      <c r="AB151" t="s">
        <v>6965</v>
      </c>
    </row>
    <row r="152" spans="2:32">
      <c r="B152" t="s">
        <v>6426</v>
      </c>
      <c r="P152" t="s">
        <v>6966</v>
      </c>
      <c r="R152" t="s">
        <v>439</v>
      </c>
      <c r="V152" t="s">
        <v>470</v>
      </c>
      <c r="X152" t="s">
        <v>6427</v>
      </c>
      <c r="Z152" t="s">
        <v>6967</v>
      </c>
      <c r="AB152" t="s">
        <v>6429</v>
      </c>
    </row>
    <row r="153" spans="2:32">
      <c r="B153" t="s">
        <v>6430</v>
      </c>
      <c r="P153" t="s">
        <v>6968</v>
      </c>
      <c r="R153" t="s">
        <v>439</v>
      </c>
      <c r="V153" t="s">
        <v>470</v>
      </c>
      <c r="X153" t="s">
        <v>6431</v>
      </c>
      <c r="Z153" t="s">
        <v>6969</v>
      </c>
      <c r="AB153" t="s">
        <v>6433</v>
      </c>
    </row>
    <row r="154" spans="2:32">
      <c r="B154" t="s">
        <v>6434</v>
      </c>
      <c r="P154" t="s">
        <v>6970</v>
      </c>
      <c r="R154" t="s">
        <v>439</v>
      </c>
      <c r="V154" t="s">
        <v>470</v>
      </c>
      <c r="X154" t="s">
        <v>6435</v>
      </c>
      <c r="Z154" t="s">
        <v>6971</v>
      </c>
      <c r="AB154" t="s">
        <v>6437</v>
      </c>
    </row>
    <row r="155" spans="2:32">
      <c r="B155" t="s">
        <v>4512</v>
      </c>
      <c r="R155" t="s">
        <v>471</v>
      </c>
      <c r="Z155" t="s">
        <v>6972</v>
      </c>
      <c r="AB155" t="s">
        <v>6441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BF157"/>
  <sheetViews>
    <sheetView workbookViewId="0"/>
  </sheetViews>
  <sheetFormatPr defaultRowHeight="12.75"/>
  <sheetData>
    <row r="1" spans="1:58">
      <c r="A1" t="s">
        <v>6973</v>
      </c>
      <c r="B1" t="s">
        <v>53</v>
      </c>
      <c r="C1" t="s">
        <v>31</v>
      </c>
      <c r="D1" t="s">
        <v>31</v>
      </c>
      <c r="E1" t="s">
        <v>31</v>
      </c>
      <c r="F1" t="s">
        <v>31</v>
      </c>
      <c r="G1" t="s">
        <v>234</v>
      </c>
      <c r="H1" t="s">
        <v>31</v>
      </c>
      <c r="I1" t="s">
        <v>31</v>
      </c>
      <c r="J1" t="s">
        <v>31</v>
      </c>
      <c r="K1" t="s">
        <v>31</v>
      </c>
      <c r="L1" t="s">
        <v>235</v>
      </c>
      <c r="M1" t="s">
        <v>235</v>
      </c>
      <c r="N1" t="s">
        <v>235</v>
      </c>
      <c r="O1" t="s">
        <v>235</v>
      </c>
      <c r="P1" t="s">
        <v>1170</v>
      </c>
      <c r="Q1" t="s">
        <v>1171</v>
      </c>
      <c r="R1" t="s">
        <v>62</v>
      </c>
      <c r="S1" t="s">
        <v>31</v>
      </c>
      <c r="T1" t="s">
        <v>31</v>
      </c>
      <c r="V1" t="s">
        <v>1172</v>
      </c>
      <c r="W1" t="s">
        <v>1173</v>
      </c>
      <c r="X1" t="s">
        <v>1174</v>
      </c>
      <c r="Y1" t="s">
        <v>1175</v>
      </c>
      <c r="Z1" t="s">
        <v>1176</v>
      </c>
      <c r="AA1" t="s">
        <v>1177</v>
      </c>
      <c r="AB1" t="s">
        <v>1178</v>
      </c>
      <c r="AC1" t="s">
        <v>1179</v>
      </c>
      <c r="AD1" t="s">
        <v>1180</v>
      </c>
      <c r="AE1" t="s">
        <v>1181</v>
      </c>
      <c r="AF1" t="s">
        <v>1182</v>
      </c>
      <c r="AG1" t="s">
        <v>1183</v>
      </c>
      <c r="AH1" t="s">
        <v>1184</v>
      </c>
      <c r="AI1" t="s">
        <v>1185</v>
      </c>
      <c r="AJ1" t="s">
        <v>1186</v>
      </c>
      <c r="AK1" t="s">
        <v>1185</v>
      </c>
      <c r="AL1" t="s">
        <v>62</v>
      </c>
      <c r="AM1" t="s">
        <v>1187</v>
      </c>
      <c r="AN1" t="s">
        <v>31</v>
      </c>
      <c r="AO1" t="s">
        <v>31</v>
      </c>
      <c r="AP1" t="s">
        <v>236</v>
      </c>
      <c r="AQ1" t="s">
        <v>31</v>
      </c>
      <c r="AS1" t="s">
        <v>236</v>
      </c>
      <c r="AT1" t="s">
        <v>237</v>
      </c>
      <c r="AU1" t="s">
        <v>237</v>
      </c>
      <c r="AV1" t="s">
        <v>237</v>
      </c>
      <c r="AW1" t="s">
        <v>237</v>
      </c>
      <c r="AX1" t="s">
        <v>237</v>
      </c>
      <c r="AY1" t="s">
        <v>237</v>
      </c>
      <c r="AZ1" t="s">
        <v>237</v>
      </c>
      <c r="BA1" t="s">
        <v>237</v>
      </c>
      <c r="BB1" t="s">
        <v>237</v>
      </c>
      <c r="BC1" t="s">
        <v>237</v>
      </c>
      <c r="BD1" t="s">
        <v>237</v>
      </c>
      <c r="BE1" t="s">
        <v>237</v>
      </c>
      <c r="BF1" t="s">
        <v>237</v>
      </c>
    </row>
    <row r="2" spans="1:58">
      <c r="B2" t="s">
        <v>6974</v>
      </c>
      <c r="C2" t="s">
        <v>1189</v>
      </c>
      <c r="T2" t="s">
        <v>1190</v>
      </c>
      <c r="V2" t="s">
        <v>1191</v>
      </c>
      <c r="X2" t="s">
        <v>1192</v>
      </c>
      <c r="Z2" t="s">
        <v>1193</v>
      </c>
      <c r="AB2" t="s">
        <v>1194</v>
      </c>
      <c r="AD2" t="s">
        <v>1195</v>
      </c>
      <c r="AF2" t="s">
        <v>1196</v>
      </c>
      <c r="AH2" t="s">
        <v>1190</v>
      </c>
      <c r="AJ2" t="s">
        <v>1197</v>
      </c>
    </row>
    <row r="3" spans="1:58">
      <c r="B3" t="s">
        <v>31</v>
      </c>
      <c r="C3" t="s">
        <v>1198</v>
      </c>
      <c r="H3" t="s">
        <v>238</v>
      </c>
      <c r="I3" t="s">
        <v>239</v>
      </c>
      <c r="J3" t="s">
        <v>240</v>
      </c>
      <c r="T3" t="s">
        <v>1199</v>
      </c>
      <c r="V3" t="s">
        <v>1200</v>
      </c>
      <c r="X3" t="s">
        <v>1201</v>
      </c>
      <c r="Z3" t="s">
        <v>1202</v>
      </c>
      <c r="AB3" t="s">
        <v>1203</v>
      </c>
      <c r="AD3" t="s">
        <v>1204</v>
      </c>
      <c r="AF3" t="s">
        <v>1205</v>
      </c>
      <c r="AH3" t="s">
        <v>1199</v>
      </c>
      <c r="AJ3" t="s">
        <v>1206</v>
      </c>
      <c r="AN3" t="s">
        <v>1207</v>
      </c>
      <c r="AP3" t="s">
        <v>1207</v>
      </c>
    </row>
    <row r="4" spans="1:58">
      <c r="B4" t="s">
        <v>31</v>
      </c>
      <c r="E4" t="s">
        <v>248</v>
      </c>
      <c r="F4" t="s">
        <v>1208</v>
      </c>
      <c r="H4" t="s">
        <v>1209</v>
      </c>
      <c r="I4" t="s">
        <v>1210</v>
      </c>
      <c r="J4" t="s">
        <v>1211</v>
      </c>
      <c r="T4" t="s">
        <v>251</v>
      </c>
      <c r="V4" t="s">
        <v>251</v>
      </c>
      <c r="X4" t="s">
        <v>251</v>
      </c>
      <c r="Z4" t="s">
        <v>251</v>
      </c>
      <c r="AB4" t="s">
        <v>251</v>
      </c>
      <c r="AD4" t="s">
        <v>252</v>
      </c>
      <c r="AF4" t="s">
        <v>252</v>
      </c>
      <c r="AH4" t="s">
        <v>251</v>
      </c>
      <c r="AJ4" t="s">
        <v>252</v>
      </c>
      <c r="AL4" t="s">
        <v>252</v>
      </c>
      <c r="AN4" t="s">
        <v>252</v>
      </c>
      <c r="AP4" t="s">
        <v>252</v>
      </c>
    </row>
    <row r="5" spans="1:58">
      <c r="B5" t="s">
        <v>31</v>
      </c>
      <c r="C5" t="s">
        <v>253</v>
      </c>
      <c r="D5" t="s">
        <v>74</v>
      </c>
      <c r="E5" t="s">
        <v>87</v>
      </c>
      <c r="F5" t="s">
        <v>803</v>
      </c>
      <c r="H5" t="s">
        <v>1212</v>
      </c>
      <c r="I5" t="s">
        <v>1213</v>
      </c>
      <c r="J5" t="s">
        <v>1214</v>
      </c>
      <c r="T5" t="s">
        <v>1215</v>
      </c>
      <c r="V5" t="s">
        <v>1216</v>
      </c>
      <c r="X5" t="s">
        <v>1217</v>
      </c>
      <c r="Z5" t="s">
        <v>1218</v>
      </c>
      <c r="AB5" t="s">
        <v>1219</v>
      </c>
      <c r="AD5" t="s">
        <v>1220</v>
      </c>
      <c r="AF5" t="s">
        <v>1221</v>
      </c>
      <c r="AH5" t="s">
        <v>1215</v>
      </c>
      <c r="AJ5" t="s">
        <v>1222</v>
      </c>
      <c r="AN5" t="s">
        <v>1223</v>
      </c>
      <c r="AP5" t="s">
        <v>1223</v>
      </c>
    </row>
    <row r="6" spans="1:58">
      <c r="B6" t="s">
        <v>31</v>
      </c>
      <c r="C6" t="s">
        <v>255</v>
      </c>
      <c r="D6" t="s">
        <v>807</v>
      </c>
      <c r="E6" t="s">
        <v>256</v>
      </c>
      <c r="F6" t="s">
        <v>1224</v>
      </c>
      <c r="H6" t="s">
        <v>1225</v>
      </c>
      <c r="I6" t="s">
        <v>1226</v>
      </c>
      <c r="J6" t="s">
        <v>1227</v>
      </c>
      <c r="AD6" t="s">
        <v>99</v>
      </c>
      <c r="AF6" t="s">
        <v>99</v>
      </c>
      <c r="AJ6" t="s">
        <v>99</v>
      </c>
      <c r="AN6" t="s">
        <v>99</v>
      </c>
      <c r="AP6" t="s">
        <v>99</v>
      </c>
    </row>
    <row r="7" spans="1:58">
      <c r="B7" t="s">
        <v>31</v>
      </c>
      <c r="C7" t="s">
        <v>65</v>
      </c>
      <c r="D7" t="s">
        <v>817</v>
      </c>
      <c r="E7" t="s">
        <v>258</v>
      </c>
      <c r="F7" t="s">
        <v>1228</v>
      </c>
      <c r="H7" t="s">
        <v>1229</v>
      </c>
      <c r="I7" t="s">
        <v>1230</v>
      </c>
      <c r="J7" t="s">
        <v>1207</v>
      </c>
      <c r="AD7" t="s">
        <v>260</v>
      </c>
      <c r="AF7" t="s">
        <v>260</v>
      </c>
      <c r="AN7" t="s">
        <v>260</v>
      </c>
      <c r="AP7" t="s">
        <v>260</v>
      </c>
    </row>
    <row r="8" spans="1:58">
      <c r="B8" t="s">
        <v>31</v>
      </c>
      <c r="C8" t="s">
        <v>261</v>
      </c>
      <c r="D8" t="s">
        <v>99</v>
      </c>
      <c r="E8" t="s">
        <v>262</v>
      </c>
      <c r="F8" t="s">
        <v>1231</v>
      </c>
      <c r="H8" t="s">
        <v>1232</v>
      </c>
      <c r="I8" t="s">
        <v>1233</v>
      </c>
      <c r="AD8" t="s">
        <v>1234</v>
      </c>
      <c r="AF8" t="s">
        <v>1235</v>
      </c>
    </row>
    <row r="9" spans="1:58">
      <c r="B9" t="s">
        <v>31</v>
      </c>
      <c r="C9" t="s">
        <v>263</v>
      </c>
      <c r="D9" t="s">
        <v>59</v>
      </c>
      <c r="E9" t="s">
        <v>264</v>
      </c>
      <c r="F9" t="s">
        <v>1236</v>
      </c>
      <c r="H9" t="s">
        <v>1237</v>
      </c>
      <c r="I9" t="s">
        <v>1238</v>
      </c>
    </row>
    <row r="10" spans="1:58">
      <c r="B10" t="s">
        <v>31</v>
      </c>
      <c r="C10" t="s">
        <v>265</v>
      </c>
      <c r="D10" t="s">
        <v>1239</v>
      </c>
      <c r="E10" t="s">
        <v>266</v>
      </c>
      <c r="F10" t="s">
        <v>1240</v>
      </c>
      <c r="H10" t="s">
        <v>1241</v>
      </c>
      <c r="I10" t="s">
        <v>1242</v>
      </c>
    </row>
    <row r="11" spans="1:58">
      <c r="B11" t="s">
        <v>31</v>
      </c>
      <c r="C11" t="s">
        <v>267</v>
      </c>
      <c r="D11" t="s">
        <v>1243</v>
      </c>
      <c r="E11" t="s">
        <v>268</v>
      </c>
      <c r="F11" t="s">
        <v>1244</v>
      </c>
      <c r="H11" t="s">
        <v>1245</v>
      </c>
      <c r="I11" t="s">
        <v>1246</v>
      </c>
    </row>
    <row r="12" spans="1:58">
      <c r="B12" t="s">
        <v>31</v>
      </c>
      <c r="E12" t="s">
        <v>269</v>
      </c>
      <c r="F12" t="s">
        <v>1247</v>
      </c>
      <c r="J12" t="s">
        <v>106</v>
      </c>
    </row>
    <row r="13" spans="1:58">
      <c r="B13" t="s">
        <v>31</v>
      </c>
      <c r="E13" t="s">
        <v>270</v>
      </c>
      <c r="F13" t="s">
        <v>1248</v>
      </c>
      <c r="J13" t="s">
        <v>271</v>
      </c>
    </row>
    <row r="14" spans="1:58">
      <c r="B14" t="s">
        <v>31</v>
      </c>
      <c r="E14" t="s">
        <v>97</v>
      </c>
      <c r="F14" t="s">
        <v>1249</v>
      </c>
    </row>
    <row r="15" spans="1:58">
      <c r="B15" t="s">
        <v>31</v>
      </c>
      <c r="E15" t="s">
        <v>272</v>
      </c>
      <c r="F15" t="s">
        <v>1250</v>
      </c>
    </row>
    <row r="16" spans="1:58">
      <c r="B16" t="s">
        <v>31</v>
      </c>
      <c r="E16" t="s">
        <v>102</v>
      </c>
      <c r="F16" t="s">
        <v>1251</v>
      </c>
    </row>
    <row r="17" spans="1:45">
      <c r="B17" t="s">
        <v>31</v>
      </c>
      <c r="E17" t="s">
        <v>65</v>
      </c>
      <c r="F17" t="s">
        <v>1969</v>
      </c>
    </row>
    <row r="18" spans="1:45">
      <c r="B18" t="s">
        <v>31</v>
      </c>
    </row>
    <row r="19" spans="1:45">
      <c r="B19" t="s">
        <v>31</v>
      </c>
      <c r="E19" t="s">
        <v>273</v>
      </c>
      <c r="H19" t="s">
        <v>274</v>
      </c>
    </row>
    <row r="20" spans="1:45">
      <c r="B20" t="s">
        <v>31</v>
      </c>
      <c r="E20" t="s">
        <v>275</v>
      </c>
      <c r="H20" t="s">
        <v>1253</v>
      </c>
    </row>
    <row r="21" spans="1:45">
      <c r="B21" t="s">
        <v>31</v>
      </c>
      <c r="E21" t="s">
        <v>276</v>
      </c>
      <c r="H21" t="s">
        <v>1254</v>
      </c>
    </row>
    <row r="22" spans="1:45">
      <c r="B22" t="s">
        <v>31</v>
      </c>
      <c r="E22" t="s">
        <v>65</v>
      </c>
      <c r="F22" t="s">
        <v>1255</v>
      </c>
      <c r="H22" t="s">
        <v>1256</v>
      </c>
    </row>
    <row r="23" spans="1:45">
      <c r="B23" t="s">
        <v>31</v>
      </c>
      <c r="E23" t="s">
        <v>277</v>
      </c>
    </row>
    <row r="24" spans="1:45">
      <c r="A24" t="s">
        <v>235</v>
      </c>
      <c r="B24" t="s">
        <v>31</v>
      </c>
      <c r="E24" t="s">
        <v>278</v>
      </c>
      <c r="G24" t="s">
        <v>279</v>
      </c>
      <c r="AJ24" t="s">
        <v>280</v>
      </c>
      <c r="AP24" t="s">
        <v>281</v>
      </c>
      <c r="AS24" t="s">
        <v>282</v>
      </c>
    </row>
    <row r="25" spans="1:45">
      <c r="B25" t="s">
        <v>62</v>
      </c>
      <c r="O25" t="s">
        <v>283</v>
      </c>
      <c r="P25" t="s">
        <v>1257</v>
      </c>
    </row>
    <row r="26" spans="1:45">
      <c r="O26" t="s">
        <v>284</v>
      </c>
      <c r="P26" t="s">
        <v>1258</v>
      </c>
    </row>
    <row r="27" spans="1:45">
      <c r="B27" t="s">
        <v>62</v>
      </c>
      <c r="O27" t="s">
        <v>285</v>
      </c>
      <c r="P27" t="s">
        <v>1259</v>
      </c>
    </row>
    <row r="29" spans="1:45">
      <c r="B29" t="s">
        <v>1260</v>
      </c>
      <c r="P29" t="s">
        <v>286</v>
      </c>
    </row>
    <row r="30" spans="1:45">
      <c r="B30" t="s">
        <v>1261</v>
      </c>
    </row>
    <row r="31" spans="1:45">
      <c r="B31" t="s">
        <v>62</v>
      </c>
      <c r="AD31" t="s">
        <v>6975</v>
      </c>
      <c r="AF31" t="s">
        <v>6976</v>
      </c>
      <c r="AH31" t="s">
        <v>287</v>
      </c>
      <c r="AJ31" t="s">
        <v>288</v>
      </c>
      <c r="AL31" t="s">
        <v>289</v>
      </c>
      <c r="AN31" t="s">
        <v>290</v>
      </c>
      <c r="AP31" t="s">
        <v>291</v>
      </c>
    </row>
    <row r="32" spans="1:45">
      <c r="B32" t="s">
        <v>62</v>
      </c>
      <c r="P32" t="s">
        <v>292</v>
      </c>
      <c r="T32" t="s">
        <v>287</v>
      </c>
      <c r="V32" t="s">
        <v>287</v>
      </c>
      <c r="X32" t="s">
        <v>287</v>
      </c>
      <c r="Z32" t="s">
        <v>287</v>
      </c>
      <c r="AB32" t="s">
        <v>287</v>
      </c>
      <c r="AD32" t="s">
        <v>293</v>
      </c>
      <c r="AF32" t="s">
        <v>293</v>
      </c>
      <c r="AH32" t="s">
        <v>294</v>
      </c>
      <c r="AJ32" t="s">
        <v>1264</v>
      </c>
      <c r="AL32" t="s">
        <v>288</v>
      </c>
      <c r="AN32" t="s">
        <v>296</v>
      </c>
      <c r="AP32" t="s">
        <v>293</v>
      </c>
    </row>
    <row r="33" spans="1:58">
      <c r="A33" t="s">
        <v>297</v>
      </c>
      <c r="B33" t="s">
        <v>62</v>
      </c>
      <c r="L33" t="s">
        <v>65</v>
      </c>
      <c r="M33" t="s">
        <v>298</v>
      </c>
      <c r="N33" t="s">
        <v>255</v>
      </c>
      <c r="O33" t="s">
        <v>253</v>
      </c>
      <c r="P33" t="s">
        <v>299</v>
      </c>
      <c r="R33" t="s">
        <v>300</v>
      </c>
      <c r="T33" t="s">
        <v>301</v>
      </c>
      <c r="V33" t="s">
        <v>1265</v>
      </c>
      <c r="X33" t="s">
        <v>1266</v>
      </c>
      <c r="Z33" t="s">
        <v>1267</v>
      </c>
      <c r="AB33" t="s">
        <v>1268</v>
      </c>
      <c r="AD33" t="s">
        <v>1269</v>
      </c>
      <c r="AF33" t="s">
        <v>1270</v>
      </c>
      <c r="AH33" t="s">
        <v>1271</v>
      </c>
      <c r="AJ33" t="s">
        <v>1272</v>
      </c>
      <c r="AL33" t="s">
        <v>1273</v>
      </c>
      <c r="AN33" t="s">
        <v>1274</v>
      </c>
      <c r="AP33" t="s">
        <v>1274</v>
      </c>
      <c r="AS33" t="s">
        <v>305</v>
      </c>
    </row>
    <row r="34" spans="1:58">
      <c r="B34" t="s">
        <v>62</v>
      </c>
    </row>
    <row r="35" spans="1:58">
      <c r="B35" t="s">
        <v>62</v>
      </c>
      <c r="O35" t="s">
        <v>306</v>
      </c>
      <c r="P35" t="s">
        <v>307</v>
      </c>
    </row>
    <row r="36" spans="1:58">
      <c r="B36" t="s">
        <v>62</v>
      </c>
      <c r="R36" t="s">
        <v>6977</v>
      </c>
    </row>
    <row r="37" spans="1:58">
      <c r="B37" t="s">
        <v>62</v>
      </c>
    </row>
    <row r="38" spans="1:58">
      <c r="A38" t="s">
        <v>236</v>
      </c>
      <c r="B38" t="s">
        <v>62</v>
      </c>
      <c r="E38" t="s">
        <v>1276</v>
      </c>
      <c r="K38" t="s">
        <v>1277</v>
      </c>
      <c r="L38" t="s">
        <v>1278</v>
      </c>
      <c r="M38" t="s">
        <v>1279</v>
      </c>
      <c r="N38" t="s">
        <v>1280</v>
      </c>
      <c r="O38" t="s">
        <v>1281</v>
      </c>
      <c r="P38" t="s">
        <v>1281</v>
      </c>
      <c r="R38" t="s">
        <v>1282</v>
      </c>
      <c r="T38" t="s">
        <v>1283</v>
      </c>
      <c r="V38" t="s">
        <v>1284</v>
      </c>
      <c r="X38" t="s">
        <v>1285</v>
      </c>
      <c r="Z38" t="s">
        <v>1286</v>
      </c>
      <c r="AB38" t="s">
        <v>1287</v>
      </c>
      <c r="AD38" t="s">
        <v>1288</v>
      </c>
      <c r="AF38" t="s">
        <v>1289</v>
      </c>
      <c r="AH38" t="s">
        <v>6978</v>
      </c>
      <c r="AJ38" t="s">
        <v>1291</v>
      </c>
      <c r="AL38" t="s">
        <v>1292</v>
      </c>
      <c r="AN38" t="s">
        <v>1293</v>
      </c>
      <c r="AP38" t="s">
        <v>1294</v>
      </c>
      <c r="AQ38" t="s">
        <v>1295</v>
      </c>
    </row>
    <row r="39" spans="1:58">
      <c r="A39" t="s">
        <v>236</v>
      </c>
      <c r="B39" t="s">
        <v>1296</v>
      </c>
      <c r="K39" t="s">
        <v>1297</v>
      </c>
      <c r="L39" t="s">
        <v>1278</v>
      </c>
      <c r="M39" t="s">
        <v>1279</v>
      </c>
      <c r="N39" t="s">
        <v>1280</v>
      </c>
      <c r="O39" t="s">
        <v>1298</v>
      </c>
      <c r="P39" t="s">
        <v>1299</v>
      </c>
      <c r="R39" t="s">
        <v>1300</v>
      </c>
      <c r="T39" t="s">
        <v>1301</v>
      </c>
      <c r="V39" t="s">
        <v>1302</v>
      </c>
      <c r="X39" t="s">
        <v>1303</v>
      </c>
      <c r="Z39" t="s">
        <v>1304</v>
      </c>
      <c r="AB39" t="s">
        <v>1305</v>
      </c>
      <c r="AD39" t="s">
        <v>1306</v>
      </c>
      <c r="AF39" t="s">
        <v>1307</v>
      </c>
      <c r="AH39" t="s">
        <v>1308</v>
      </c>
      <c r="AJ39" t="s">
        <v>1309</v>
      </c>
      <c r="AL39" t="s">
        <v>1310</v>
      </c>
      <c r="AN39" t="s">
        <v>1311</v>
      </c>
      <c r="AP39" t="s">
        <v>1312</v>
      </c>
      <c r="AQ39" t="s">
        <v>1313</v>
      </c>
    </row>
    <row r="40" spans="1:58">
      <c r="A40" t="s">
        <v>311</v>
      </c>
      <c r="B40" t="s">
        <v>3062</v>
      </c>
      <c r="K40" t="s">
        <v>3117</v>
      </c>
      <c r="L40" t="s">
        <v>1278</v>
      </c>
      <c r="M40" t="s">
        <v>1279</v>
      </c>
      <c r="N40" t="s">
        <v>1280</v>
      </c>
      <c r="O40" t="s">
        <v>3064</v>
      </c>
      <c r="P40" t="s">
        <v>3065</v>
      </c>
      <c r="R40" t="s">
        <v>3066</v>
      </c>
      <c r="T40" t="s">
        <v>3067</v>
      </c>
      <c r="V40" t="s">
        <v>3068</v>
      </c>
      <c r="X40" t="s">
        <v>3069</v>
      </c>
      <c r="Z40" t="s">
        <v>3070</v>
      </c>
      <c r="AB40" t="s">
        <v>3071</v>
      </c>
      <c r="AD40" t="s">
        <v>3072</v>
      </c>
      <c r="AF40" t="s">
        <v>3073</v>
      </c>
      <c r="AH40" t="s">
        <v>3074</v>
      </c>
      <c r="AJ40" t="s">
        <v>3075</v>
      </c>
      <c r="AL40" t="s">
        <v>3076</v>
      </c>
      <c r="AN40" t="s">
        <v>3077</v>
      </c>
      <c r="AP40" t="s">
        <v>3078</v>
      </c>
      <c r="AQ40" t="s">
        <v>3079</v>
      </c>
    </row>
    <row r="41" spans="1:58">
      <c r="A41" t="s">
        <v>311</v>
      </c>
      <c r="B41" t="s">
        <v>3080</v>
      </c>
      <c r="K41" t="s">
        <v>3134</v>
      </c>
      <c r="L41" t="s">
        <v>1278</v>
      </c>
      <c r="M41" t="s">
        <v>1279</v>
      </c>
      <c r="N41" t="s">
        <v>1280</v>
      </c>
      <c r="O41" t="s">
        <v>3082</v>
      </c>
      <c r="P41" t="s">
        <v>3083</v>
      </c>
      <c r="R41" t="s">
        <v>3084</v>
      </c>
      <c r="T41" t="s">
        <v>3085</v>
      </c>
      <c r="V41" t="s">
        <v>3086</v>
      </c>
      <c r="X41" t="s">
        <v>3087</v>
      </c>
      <c r="Z41" t="s">
        <v>3088</v>
      </c>
      <c r="AB41" t="s">
        <v>3089</v>
      </c>
      <c r="AD41" t="s">
        <v>3090</v>
      </c>
      <c r="AF41" t="s">
        <v>3091</v>
      </c>
      <c r="AH41" t="s">
        <v>3092</v>
      </c>
      <c r="AJ41" t="s">
        <v>3093</v>
      </c>
      <c r="AL41" t="s">
        <v>3094</v>
      </c>
      <c r="AN41" t="s">
        <v>3095</v>
      </c>
      <c r="AP41" t="s">
        <v>3096</v>
      </c>
      <c r="AQ41" t="s">
        <v>3097</v>
      </c>
    </row>
    <row r="42" spans="1:58">
      <c r="A42" t="s">
        <v>311</v>
      </c>
      <c r="B42" t="s">
        <v>3098</v>
      </c>
      <c r="K42" t="s">
        <v>3163</v>
      </c>
      <c r="L42" t="s">
        <v>1278</v>
      </c>
      <c r="M42" t="s">
        <v>1279</v>
      </c>
      <c r="N42" t="s">
        <v>1280</v>
      </c>
      <c r="O42" t="s">
        <v>3100</v>
      </c>
      <c r="P42" t="s">
        <v>3101</v>
      </c>
      <c r="R42" t="s">
        <v>3102</v>
      </c>
      <c r="T42" t="s">
        <v>3103</v>
      </c>
      <c r="V42" t="s">
        <v>3104</v>
      </c>
      <c r="X42" t="s">
        <v>3105</v>
      </c>
      <c r="Z42" t="s">
        <v>3106</v>
      </c>
      <c r="AB42" t="s">
        <v>3107</v>
      </c>
      <c r="AD42" t="s">
        <v>3108</v>
      </c>
      <c r="AF42" t="s">
        <v>3109</v>
      </c>
      <c r="AH42" t="s">
        <v>3110</v>
      </c>
      <c r="AJ42" t="s">
        <v>3111</v>
      </c>
      <c r="AL42" t="s">
        <v>3112</v>
      </c>
      <c r="AN42" t="s">
        <v>3113</v>
      </c>
      <c r="AP42" t="s">
        <v>3114</v>
      </c>
      <c r="AQ42" t="s">
        <v>3115</v>
      </c>
    </row>
    <row r="43" spans="1:58">
      <c r="B43" t="s">
        <v>62</v>
      </c>
    </row>
    <row r="44" spans="1:58">
      <c r="B44" t="s">
        <v>31</v>
      </c>
      <c r="E44" t="s">
        <v>1314</v>
      </c>
    </row>
    <row r="45" spans="1:58">
      <c r="B45" t="s">
        <v>31</v>
      </c>
      <c r="I45" t="s">
        <v>6979</v>
      </c>
    </row>
    <row r="46" spans="1:58">
      <c r="B46" t="s">
        <v>6980</v>
      </c>
      <c r="I46" t="s">
        <v>6981</v>
      </c>
      <c r="R46" t="s">
        <v>6982</v>
      </c>
      <c r="AU46" t="s">
        <v>301</v>
      </c>
      <c r="AV46" t="s">
        <v>1319</v>
      </c>
      <c r="AW46" t="s">
        <v>1320</v>
      </c>
      <c r="AX46" t="s">
        <v>1321</v>
      </c>
      <c r="AY46" t="s">
        <v>1322</v>
      </c>
      <c r="AZ46" t="s">
        <v>327</v>
      </c>
      <c r="BA46" t="s">
        <v>328</v>
      </c>
      <c r="BB46" t="s">
        <v>329</v>
      </c>
      <c r="BC46" t="s">
        <v>330</v>
      </c>
      <c r="BD46" t="s">
        <v>289</v>
      </c>
      <c r="BE46" t="s">
        <v>331</v>
      </c>
      <c r="BF46" t="s">
        <v>332</v>
      </c>
    </row>
    <row r="47" spans="1:58">
      <c r="A47" t="s">
        <v>236</v>
      </c>
      <c r="B47" t="s">
        <v>3179</v>
      </c>
      <c r="I47" t="s">
        <v>1358</v>
      </c>
      <c r="K47" t="s">
        <v>6983</v>
      </c>
      <c r="L47" t="s">
        <v>1278</v>
      </c>
      <c r="M47" t="s">
        <v>1279</v>
      </c>
      <c r="N47" t="s">
        <v>1280</v>
      </c>
      <c r="O47" t="s">
        <v>6984</v>
      </c>
      <c r="P47" t="s">
        <v>3182</v>
      </c>
      <c r="R47" t="s">
        <v>3183</v>
      </c>
      <c r="T47" t="s">
        <v>6985</v>
      </c>
      <c r="V47" t="s">
        <v>6986</v>
      </c>
      <c r="X47" t="s">
        <v>6987</v>
      </c>
      <c r="Z47" t="s">
        <v>6988</v>
      </c>
      <c r="AB47" t="s">
        <v>6989</v>
      </c>
      <c r="AD47" t="s">
        <v>6990</v>
      </c>
      <c r="AF47" t="s">
        <v>6991</v>
      </c>
      <c r="AH47" t="s">
        <v>6992</v>
      </c>
      <c r="AJ47" t="s">
        <v>3192</v>
      </c>
      <c r="AL47" t="s">
        <v>3193</v>
      </c>
      <c r="AN47" t="s">
        <v>6993</v>
      </c>
      <c r="AP47" t="s">
        <v>3195</v>
      </c>
      <c r="AQ47" t="s">
        <v>3196</v>
      </c>
    </row>
    <row r="48" spans="1:58">
      <c r="B48" t="s">
        <v>6980</v>
      </c>
      <c r="I48" t="s">
        <v>6465</v>
      </c>
    </row>
    <row r="49" spans="1:58">
      <c r="B49" t="s">
        <v>3215</v>
      </c>
      <c r="I49" t="s">
        <v>5892</v>
      </c>
      <c r="R49" t="s">
        <v>150</v>
      </c>
      <c r="T49" t="s">
        <v>6994</v>
      </c>
      <c r="V49" t="s">
        <v>6995</v>
      </c>
      <c r="X49" t="s">
        <v>6996</v>
      </c>
      <c r="Z49" t="s">
        <v>6997</v>
      </c>
      <c r="AB49" t="s">
        <v>6998</v>
      </c>
      <c r="AD49" t="s">
        <v>6999</v>
      </c>
      <c r="AF49" t="s">
        <v>7000</v>
      </c>
      <c r="AH49" t="s">
        <v>7001</v>
      </c>
      <c r="AJ49" t="s">
        <v>7002</v>
      </c>
      <c r="AL49" t="s">
        <v>7003</v>
      </c>
      <c r="AN49" t="s">
        <v>7004</v>
      </c>
      <c r="AP49" t="s">
        <v>7005</v>
      </c>
      <c r="AQ49" t="s">
        <v>1372</v>
      </c>
      <c r="AU49" t="s">
        <v>6994</v>
      </c>
      <c r="AV49" t="s">
        <v>6995</v>
      </c>
      <c r="AW49" t="s">
        <v>6996</v>
      </c>
      <c r="AX49" t="s">
        <v>6997</v>
      </c>
      <c r="AY49" t="s">
        <v>6998</v>
      </c>
      <c r="AZ49" t="s">
        <v>6999</v>
      </c>
      <c r="BA49" t="s">
        <v>7000</v>
      </c>
      <c r="BB49" t="s">
        <v>7001</v>
      </c>
      <c r="BC49" t="s">
        <v>7002</v>
      </c>
      <c r="BD49" t="s">
        <v>7003</v>
      </c>
      <c r="BE49" t="s">
        <v>7004</v>
      </c>
      <c r="BF49" t="s">
        <v>7005</v>
      </c>
    </row>
    <row r="50" spans="1:58">
      <c r="B50" t="s">
        <v>6980</v>
      </c>
      <c r="I50" t="s">
        <v>5904</v>
      </c>
    </row>
    <row r="51" spans="1:58">
      <c r="B51" t="s">
        <v>62</v>
      </c>
    </row>
    <row r="52" spans="1:58">
      <c r="B52" t="s">
        <v>62</v>
      </c>
      <c r="R52" t="s">
        <v>1359</v>
      </c>
      <c r="T52" t="s">
        <v>7006</v>
      </c>
      <c r="V52" t="s">
        <v>7007</v>
      </c>
      <c r="X52" t="s">
        <v>7008</v>
      </c>
      <c r="Z52" t="s">
        <v>7009</v>
      </c>
      <c r="AB52" t="s">
        <v>7010</v>
      </c>
      <c r="AD52" t="s">
        <v>7011</v>
      </c>
      <c r="AF52" t="s">
        <v>7012</v>
      </c>
      <c r="AH52" t="s">
        <v>7013</v>
      </c>
      <c r="AJ52" t="s">
        <v>7014</v>
      </c>
      <c r="AL52" t="s">
        <v>7015</v>
      </c>
      <c r="AN52" t="s">
        <v>7016</v>
      </c>
      <c r="AP52" t="s">
        <v>7017</v>
      </c>
      <c r="AQ52" t="s">
        <v>3285</v>
      </c>
    </row>
    <row r="53" spans="1:58">
      <c r="B53" t="s">
        <v>62</v>
      </c>
    </row>
    <row r="54" spans="1:58">
      <c r="B54" t="s">
        <v>5932</v>
      </c>
      <c r="E54" t="s">
        <v>1374</v>
      </c>
      <c r="R54" t="s">
        <v>335</v>
      </c>
    </row>
    <row r="55" spans="1:58">
      <c r="B55" t="s">
        <v>31</v>
      </c>
    </row>
    <row r="56" spans="1:58">
      <c r="A56" t="s">
        <v>236</v>
      </c>
      <c r="B56" t="s">
        <v>7018</v>
      </c>
      <c r="K56" t="s">
        <v>7019</v>
      </c>
      <c r="L56" t="s">
        <v>1278</v>
      </c>
      <c r="M56" t="s">
        <v>1279</v>
      </c>
      <c r="N56" t="s">
        <v>1280</v>
      </c>
      <c r="O56" t="s">
        <v>7020</v>
      </c>
      <c r="P56" t="s">
        <v>7021</v>
      </c>
      <c r="R56" t="s">
        <v>7022</v>
      </c>
      <c r="T56" t="s">
        <v>7023</v>
      </c>
      <c r="V56" t="s">
        <v>7024</v>
      </c>
      <c r="X56" t="s">
        <v>7025</v>
      </c>
      <c r="Z56" t="s">
        <v>7026</v>
      </c>
      <c r="AB56" t="s">
        <v>7027</v>
      </c>
      <c r="AD56" t="s">
        <v>7028</v>
      </c>
      <c r="AF56" t="s">
        <v>7029</v>
      </c>
      <c r="AH56" t="s">
        <v>7030</v>
      </c>
      <c r="AJ56" t="s">
        <v>830</v>
      </c>
      <c r="AL56" t="s">
        <v>7031</v>
      </c>
      <c r="AN56" t="s">
        <v>7032</v>
      </c>
      <c r="AP56" t="s">
        <v>7033</v>
      </c>
      <c r="AQ56" t="s">
        <v>7034</v>
      </c>
    </row>
    <row r="57" spans="1:58">
      <c r="B57" t="s">
        <v>31</v>
      </c>
    </row>
    <row r="58" spans="1:58">
      <c r="B58" t="s">
        <v>5932</v>
      </c>
      <c r="R58" t="s">
        <v>1392</v>
      </c>
      <c r="T58" t="s">
        <v>7035</v>
      </c>
      <c r="V58" t="s">
        <v>7036</v>
      </c>
      <c r="X58" t="s">
        <v>7037</v>
      </c>
      <c r="Z58" t="s">
        <v>7038</v>
      </c>
      <c r="AB58" t="s">
        <v>7039</v>
      </c>
      <c r="AD58" t="s">
        <v>7040</v>
      </c>
      <c r="AF58" t="s">
        <v>7041</v>
      </c>
      <c r="AH58" t="s">
        <v>7042</v>
      </c>
      <c r="AJ58" t="s">
        <v>7043</v>
      </c>
      <c r="AL58" t="s">
        <v>7044</v>
      </c>
      <c r="AN58" t="s">
        <v>7045</v>
      </c>
      <c r="AP58" t="s">
        <v>7046</v>
      </c>
      <c r="AQ58" t="s">
        <v>5948</v>
      </c>
    </row>
    <row r="59" spans="1:58">
      <c r="B59" t="s">
        <v>7047</v>
      </c>
    </row>
    <row r="60" spans="1:58">
      <c r="B60" t="s">
        <v>6529</v>
      </c>
      <c r="R60" t="s">
        <v>1408</v>
      </c>
      <c r="T60" t="s">
        <v>7048</v>
      </c>
      <c r="V60" t="s">
        <v>7049</v>
      </c>
      <c r="X60" t="s">
        <v>7050</v>
      </c>
      <c r="Z60" t="s">
        <v>7051</v>
      </c>
      <c r="AB60" t="s">
        <v>7052</v>
      </c>
      <c r="AD60" t="s">
        <v>7053</v>
      </c>
      <c r="AF60" t="s">
        <v>7054</v>
      </c>
      <c r="AH60" t="s">
        <v>7055</v>
      </c>
      <c r="AJ60" t="s">
        <v>7056</v>
      </c>
      <c r="AL60" t="s">
        <v>7057</v>
      </c>
      <c r="AN60" t="s">
        <v>7058</v>
      </c>
      <c r="AP60" t="s">
        <v>7059</v>
      </c>
      <c r="AQ60" t="s">
        <v>5961</v>
      </c>
    </row>
    <row r="61" spans="1:58">
      <c r="B61" t="s">
        <v>5962</v>
      </c>
    </row>
    <row r="62" spans="1:58">
      <c r="B62" t="s">
        <v>62</v>
      </c>
      <c r="R62" t="s">
        <v>1423</v>
      </c>
    </row>
    <row r="63" spans="1:58">
      <c r="B63" t="s">
        <v>62</v>
      </c>
    </row>
    <row r="64" spans="1:58">
      <c r="B64" t="s">
        <v>7060</v>
      </c>
      <c r="R64" t="s">
        <v>1425</v>
      </c>
    </row>
    <row r="65" spans="1:58">
      <c r="B65" t="s">
        <v>31</v>
      </c>
      <c r="E65" t="s">
        <v>1426</v>
      </c>
      <c r="H65" t="s">
        <v>336</v>
      </c>
    </row>
    <row r="66" spans="1:58">
      <c r="A66" t="s">
        <v>236</v>
      </c>
      <c r="B66" t="s">
        <v>7061</v>
      </c>
      <c r="K66" t="s">
        <v>7062</v>
      </c>
      <c r="L66" t="s">
        <v>1278</v>
      </c>
      <c r="M66" t="s">
        <v>1279</v>
      </c>
      <c r="N66" t="s">
        <v>1280</v>
      </c>
      <c r="O66" t="s">
        <v>7063</v>
      </c>
      <c r="P66" t="s">
        <v>7064</v>
      </c>
      <c r="R66" t="s">
        <v>7065</v>
      </c>
      <c r="T66" t="s">
        <v>7066</v>
      </c>
      <c r="V66" t="s">
        <v>7067</v>
      </c>
      <c r="X66" t="s">
        <v>7068</v>
      </c>
      <c r="Z66" t="s">
        <v>7069</v>
      </c>
      <c r="AB66" t="s">
        <v>7070</v>
      </c>
      <c r="AD66" t="s">
        <v>7071</v>
      </c>
      <c r="AF66" t="s">
        <v>7072</v>
      </c>
      <c r="AH66" t="s">
        <v>7073</v>
      </c>
      <c r="AJ66" t="s">
        <v>830</v>
      </c>
      <c r="AL66" t="s">
        <v>7074</v>
      </c>
      <c r="AN66" t="s">
        <v>7075</v>
      </c>
      <c r="AP66" t="s">
        <v>7076</v>
      </c>
      <c r="AQ66" t="s">
        <v>7077</v>
      </c>
    </row>
    <row r="67" spans="1:58">
      <c r="B67" t="s">
        <v>7060</v>
      </c>
    </row>
    <row r="68" spans="1:58">
      <c r="B68" t="s">
        <v>3370</v>
      </c>
      <c r="R68" t="s">
        <v>7078</v>
      </c>
      <c r="T68" t="s">
        <v>7079</v>
      </c>
      <c r="V68" t="s">
        <v>7080</v>
      </c>
      <c r="X68" t="s">
        <v>7081</v>
      </c>
      <c r="Z68" t="s">
        <v>7082</v>
      </c>
      <c r="AB68" t="s">
        <v>7083</v>
      </c>
      <c r="AD68" t="s">
        <v>7084</v>
      </c>
      <c r="AF68" t="s">
        <v>7085</v>
      </c>
      <c r="AH68" t="s">
        <v>7086</v>
      </c>
      <c r="AJ68" t="s">
        <v>7087</v>
      </c>
      <c r="AL68" t="s">
        <v>7088</v>
      </c>
      <c r="AN68" t="s">
        <v>7089</v>
      </c>
      <c r="AP68" t="s">
        <v>7090</v>
      </c>
      <c r="AQ68" t="s">
        <v>3386</v>
      </c>
    </row>
    <row r="69" spans="1:58">
      <c r="B69" t="s">
        <v>7060</v>
      </c>
    </row>
    <row r="70" spans="1:58">
      <c r="B70" t="s">
        <v>31</v>
      </c>
      <c r="E70" t="s">
        <v>1426</v>
      </c>
      <c r="H70" t="s">
        <v>364</v>
      </c>
      <c r="AH70" t="s">
        <v>7091</v>
      </c>
    </row>
    <row r="71" spans="1:58">
      <c r="B71" t="s">
        <v>31</v>
      </c>
    </row>
    <row r="72" spans="1:58">
      <c r="B72" t="s">
        <v>31</v>
      </c>
      <c r="H72" t="s">
        <v>365</v>
      </c>
      <c r="I72" t="s">
        <v>7092</v>
      </c>
    </row>
    <row r="73" spans="1:58">
      <c r="B73" t="s">
        <v>6577</v>
      </c>
      <c r="I73" t="s">
        <v>1482</v>
      </c>
      <c r="R73" t="s">
        <v>7093</v>
      </c>
      <c r="AU73" t="s">
        <v>301</v>
      </c>
      <c r="AV73" t="s">
        <v>1319</v>
      </c>
      <c r="AW73" t="s">
        <v>1320</v>
      </c>
      <c r="AX73" t="s">
        <v>1321</v>
      </c>
      <c r="AY73" t="s">
        <v>1322</v>
      </c>
      <c r="AZ73" t="s">
        <v>327</v>
      </c>
      <c r="BA73" t="s">
        <v>328</v>
      </c>
      <c r="BB73" t="s">
        <v>329</v>
      </c>
      <c r="BC73" t="s">
        <v>330</v>
      </c>
      <c r="BD73" t="s">
        <v>289</v>
      </c>
      <c r="BE73" t="s">
        <v>331</v>
      </c>
      <c r="BF73" t="s">
        <v>332</v>
      </c>
    </row>
    <row r="74" spans="1:58">
      <c r="A74" t="s">
        <v>236</v>
      </c>
      <c r="B74" t="s">
        <v>7094</v>
      </c>
      <c r="I74" t="s">
        <v>1510</v>
      </c>
      <c r="K74" t="s">
        <v>7095</v>
      </c>
      <c r="L74" t="s">
        <v>1278</v>
      </c>
      <c r="M74" t="s">
        <v>1279</v>
      </c>
      <c r="N74" t="s">
        <v>1280</v>
      </c>
      <c r="O74" t="s">
        <v>7096</v>
      </c>
      <c r="P74" t="s">
        <v>7097</v>
      </c>
      <c r="R74" t="s">
        <v>7098</v>
      </c>
      <c r="T74" t="s">
        <v>7099</v>
      </c>
      <c r="V74" t="s">
        <v>7100</v>
      </c>
      <c r="X74" t="s">
        <v>7101</v>
      </c>
      <c r="Z74" t="s">
        <v>7102</v>
      </c>
      <c r="AB74" t="s">
        <v>7103</v>
      </c>
      <c r="AD74" t="s">
        <v>7104</v>
      </c>
      <c r="AF74" t="s">
        <v>7105</v>
      </c>
      <c r="AH74" t="s">
        <v>7106</v>
      </c>
      <c r="AJ74" t="s">
        <v>830</v>
      </c>
      <c r="AL74" t="s">
        <v>7107</v>
      </c>
      <c r="AN74" t="s">
        <v>7108</v>
      </c>
      <c r="AP74" t="s">
        <v>7109</v>
      </c>
      <c r="AQ74" t="s">
        <v>7110</v>
      </c>
    </row>
    <row r="75" spans="1:58">
      <c r="A75" t="s">
        <v>311</v>
      </c>
      <c r="B75" t="s">
        <v>6579</v>
      </c>
      <c r="I75" t="s">
        <v>6003</v>
      </c>
      <c r="K75" t="s">
        <v>7111</v>
      </c>
      <c r="L75" t="s">
        <v>1278</v>
      </c>
      <c r="M75" t="s">
        <v>1279</v>
      </c>
      <c r="N75" t="s">
        <v>1280</v>
      </c>
      <c r="O75" t="s">
        <v>6581</v>
      </c>
      <c r="P75" t="s">
        <v>6582</v>
      </c>
      <c r="R75" t="s">
        <v>6583</v>
      </c>
      <c r="T75" t="s">
        <v>6584</v>
      </c>
      <c r="V75" t="s">
        <v>6585</v>
      </c>
      <c r="X75" t="s">
        <v>6586</v>
      </c>
      <c r="Z75" t="s">
        <v>6587</v>
      </c>
      <c r="AB75" t="s">
        <v>6588</v>
      </c>
      <c r="AD75" t="s">
        <v>6589</v>
      </c>
      <c r="AF75" t="s">
        <v>6590</v>
      </c>
      <c r="AH75" t="s">
        <v>6591</v>
      </c>
      <c r="AJ75" t="s">
        <v>830</v>
      </c>
      <c r="AL75" t="s">
        <v>6592</v>
      </c>
      <c r="AN75" t="s">
        <v>6593</v>
      </c>
      <c r="AP75" t="s">
        <v>6594</v>
      </c>
      <c r="AQ75" t="s">
        <v>6595</v>
      </c>
    </row>
    <row r="76" spans="1:58">
      <c r="B76" t="s">
        <v>31</v>
      </c>
      <c r="I76" t="s">
        <v>6003</v>
      </c>
    </row>
    <row r="77" spans="1:58">
      <c r="B77" t="s">
        <v>6577</v>
      </c>
      <c r="I77" t="s">
        <v>6023</v>
      </c>
      <c r="R77" t="s">
        <v>7112</v>
      </c>
      <c r="T77" t="s">
        <v>6610</v>
      </c>
      <c r="V77" t="s">
        <v>6611</v>
      </c>
      <c r="X77" t="s">
        <v>6612</v>
      </c>
      <c r="Z77" t="s">
        <v>6613</v>
      </c>
      <c r="AB77" t="s">
        <v>6614</v>
      </c>
      <c r="AD77" t="s">
        <v>6615</v>
      </c>
      <c r="AF77" t="s">
        <v>6616</v>
      </c>
      <c r="AH77" t="s">
        <v>6617</v>
      </c>
      <c r="AJ77" t="s">
        <v>6618</v>
      </c>
      <c r="AL77" t="s">
        <v>6619</v>
      </c>
      <c r="AN77" t="s">
        <v>6620</v>
      </c>
      <c r="AP77" t="s">
        <v>6621</v>
      </c>
      <c r="AQ77" t="s">
        <v>6609</v>
      </c>
      <c r="AU77" t="s">
        <v>7113</v>
      </c>
      <c r="AV77" t="s">
        <v>7114</v>
      </c>
      <c r="AW77" t="s">
        <v>7115</v>
      </c>
      <c r="AX77" t="s">
        <v>7116</v>
      </c>
      <c r="AY77" t="s">
        <v>7117</v>
      </c>
      <c r="AZ77" t="s">
        <v>7118</v>
      </c>
      <c r="BA77" t="s">
        <v>7119</v>
      </c>
      <c r="BB77" t="s">
        <v>7120</v>
      </c>
      <c r="BC77" t="s">
        <v>7121</v>
      </c>
      <c r="BD77" t="s">
        <v>7122</v>
      </c>
      <c r="BE77" t="s">
        <v>7123</v>
      </c>
      <c r="BF77" t="s">
        <v>7124</v>
      </c>
    </row>
    <row r="78" spans="1:58">
      <c r="B78" t="s">
        <v>6622</v>
      </c>
      <c r="I78" t="s">
        <v>6024</v>
      </c>
    </row>
    <row r="79" spans="1:58">
      <c r="B79" t="s">
        <v>31</v>
      </c>
    </row>
    <row r="80" spans="1:58">
      <c r="B80" t="s">
        <v>31</v>
      </c>
      <c r="R80" t="s">
        <v>437</v>
      </c>
      <c r="T80" t="s">
        <v>6623</v>
      </c>
      <c r="V80" t="s">
        <v>6624</v>
      </c>
      <c r="X80" t="s">
        <v>6625</v>
      </c>
      <c r="Z80" t="s">
        <v>6626</v>
      </c>
      <c r="AB80" t="s">
        <v>6627</v>
      </c>
      <c r="AD80" t="s">
        <v>6628</v>
      </c>
      <c r="AF80" t="s">
        <v>6629</v>
      </c>
      <c r="AH80" t="s">
        <v>6630</v>
      </c>
      <c r="AJ80" t="s">
        <v>6631</v>
      </c>
      <c r="AL80" t="s">
        <v>6632</v>
      </c>
      <c r="AN80" t="s">
        <v>6633</v>
      </c>
      <c r="AP80" t="s">
        <v>6634</v>
      </c>
    </row>
    <row r="81" spans="1:43">
      <c r="B81" t="s">
        <v>31</v>
      </c>
      <c r="E81" t="s">
        <v>438</v>
      </c>
      <c r="AH81" t="s">
        <v>7125</v>
      </c>
    </row>
    <row r="82" spans="1:43">
      <c r="B82" t="s">
        <v>3524</v>
      </c>
      <c r="R82" t="s">
        <v>439</v>
      </c>
    </row>
    <row r="83" spans="1:43">
      <c r="A83" t="s">
        <v>236</v>
      </c>
      <c r="B83" t="s">
        <v>3495</v>
      </c>
      <c r="K83" t="s">
        <v>6636</v>
      </c>
      <c r="L83" t="s">
        <v>1278</v>
      </c>
      <c r="M83" t="s">
        <v>1279</v>
      </c>
      <c r="N83" t="s">
        <v>1280</v>
      </c>
      <c r="O83" t="s">
        <v>6637</v>
      </c>
      <c r="P83" t="s">
        <v>3498</v>
      </c>
      <c r="R83" t="s">
        <v>6638</v>
      </c>
      <c r="T83" t="s">
        <v>6639</v>
      </c>
      <c r="V83" t="s">
        <v>6640</v>
      </c>
      <c r="X83" t="s">
        <v>6641</v>
      </c>
      <c r="Z83" t="s">
        <v>6642</v>
      </c>
      <c r="AB83" t="s">
        <v>6643</v>
      </c>
      <c r="AD83" t="s">
        <v>6644</v>
      </c>
      <c r="AF83" t="s">
        <v>6645</v>
      </c>
      <c r="AH83" t="s">
        <v>6646</v>
      </c>
      <c r="AJ83" t="s">
        <v>830</v>
      </c>
      <c r="AL83" t="s">
        <v>3508</v>
      </c>
      <c r="AN83" t="s">
        <v>6647</v>
      </c>
      <c r="AP83" t="s">
        <v>3510</v>
      </c>
      <c r="AQ83" t="s">
        <v>3511</v>
      </c>
    </row>
    <row r="84" spans="1:43">
      <c r="B84" t="s">
        <v>31</v>
      </c>
    </row>
    <row r="85" spans="1:43">
      <c r="B85" t="s">
        <v>3524</v>
      </c>
      <c r="R85" t="s">
        <v>440</v>
      </c>
      <c r="T85" t="s">
        <v>6648</v>
      </c>
      <c r="V85" t="s">
        <v>6649</v>
      </c>
      <c r="X85" t="s">
        <v>6650</v>
      </c>
      <c r="Z85" t="s">
        <v>6651</v>
      </c>
      <c r="AB85" t="s">
        <v>6652</v>
      </c>
      <c r="AD85" t="s">
        <v>6653</v>
      </c>
      <c r="AF85" t="s">
        <v>6654</v>
      </c>
      <c r="AH85" t="s">
        <v>6655</v>
      </c>
      <c r="AJ85" t="s">
        <v>6656</v>
      </c>
      <c r="AL85" t="s">
        <v>6657</v>
      </c>
      <c r="AN85" t="s">
        <v>6658</v>
      </c>
      <c r="AP85" t="s">
        <v>6659</v>
      </c>
      <c r="AQ85" t="s">
        <v>3540</v>
      </c>
    </row>
    <row r="86" spans="1:43">
      <c r="B86" t="s">
        <v>6660</v>
      </c>
      <c r="E86" t="s">
        <v>1556</v>
      </c>
      <c r="H86" t="s">
        <v>441</v>
      </c>
    </row>
    <row r="87" spans="1:43">
      <c r="B87" t="s">
        <v>1606</v>
      </c>
      <c r="R87" t="s">
        <v>166</v>
      </c>
    </row>
    <row r="88" spans="1:43">
      <c r="A88" t="s">
        <v>236</v>
      </c>
      <c r="B88" t="s">
        <v>1589</v>
      </c>
      <c r="K88" t="s">
        <v>6661</v>
      </c>
      <c r="L88" t="s">
        <v>1278</v>
      </c>
      <c r="M88" t="s">
        <v>1279</v>
      </c>
      <c r="N88" t="s">
        <v>1280</v>
      </c>
      <c r="O88" t="s">
        <v>6662</v>
      </c>
      <c r="P88" t="s">
        <v>3575</v>
      </c>
      <c r="R88" t="s">
        <v>6663</v>
      </c>
      <c r="T88" t="s">
        <v>6664</v>
      </c>
      <c r="V88" t="s">
        <v>6665</v>
      </c>
      <c r="X88" t="s">
        <v>6666</v>
      </c>
      <c r="Z88" t="s">
        <v>6667</v>
      </c>
      <c r="AB88" t="s">
        <v>6668</v>
      </c>
      <c r="AD88" t="s">
        <v>6669</v>
      </c>
      <c r="AF88" t="s">
        <v>6670</v>
      </c>
      <c r="AH88" t="s">
        <v>6671</v>
      </c>
      <c r="AJ88" t="s">
        <v>830</v>
      </c>
      <c r="AL88" t="s">
        <v>3585</v>
      </c>
      <c r="AN88" t="s">
        <v>6672</v>
      </c>
      <c r="AP88" t="s">
        <v>3587</v>
      </c>
      <c r="AQ88" t="s">
        <v>1603</v>
      </c>
    </row>
    <row r="89" spans="1:43">
      <c r="A89" t="s">
        <v>311</v>
      </c>
      <c r="B89" t="s">
        <v>3588</v>
      </c>
      <c r="K89" t="s">
        <v>6088</v>
      </c>
      <c r="L89" t="s">
        <v>1278</v>
      </c>
      <c r="M89" t="s">
        <v>1279</v>
      </c>
      <c r="N89" t="s">
        <v>1280</v>
      </c>
      <c r="O89" t="s">
        <v>6077</v>
      </c>
      <c r="P89" t="s">
        <v>3591</v>
      </c>
      <c r="R89" t="s">
        <v>6078</v>
      </c>
      <c r="T89" t="s">
        <v>6673</v>
      </c>
      <c r="V89" t="s">
        <v>6674</v>
      </c>
      <c r="X89" t="s">
        <v>6675</v>
      </c>
      <c r="Z89" t="s">
        <v>6676</v>
      </c>
      <c r="AB89" t="s">
        <v>6677</v>
      </c>
      <c r="AD89" t="s">
        <v>6678</v>
      </c>
      <c r="AF89" t="s">
        <v>6679</v>
      </c>
      <c r="AH89" t="s">
        <v>6680</v>
      </c>
      <c r="AJ89" t="s">
        <v>830</v>
      </c>
      <c r="AL89" t="s">
        <v>3601</v>
      </c>
      <c r="AN89" t="s">
        <v>6681</v>
      </c>
      <c r="AP89" t="s">
        <v>3603</v>
      </c>
      <c r="AQ89" t="s">
        <v>3604</v>
      </c>
    </row>
    <row r="90" spans="1:43">
      <c r="A90" t="s">
        <v>311</v>
      </c>
      <c r="B90" t="s">
        <v>3605</v>
      </c>
      <c r="K90" t="s">
        <v>6100</v>
      </c>
      <c r="L90" t="s">
        <v>1278</v>
      </c>
      <c r="M90" t="s">
        <v>1279</v>
      </c>
      <c r="N90" t="s">
        <v>1280</v>
      </c>
      <c r="O90" t="s">
        <v>6089</v>
      </c>
      <c r="P90" t="s">
        <v>3608</v>
      </c>
      <c r="R90" t="s">
        <v>6090</v>
      </c>
      <c r="T90" t="s">
        <v>6682</v>
      </c>
      <c r="V90" t="s">
        <v>6683</v>
      </c>
      <c r="X90" t="s">
        <v>6684</v>
      </c>
      <c r="Z90" t="s">
        <v>6685</v>
      </c>
      <c r="AB90" t="s">
        <v>6686</v>
      </c>
      <c r="AD90" t="s">
        <v>6687</v>
      </c>
      <c r="AF90" t="s">
        <v>6688</v>
      </c>
      <c r="AH90" t="s">
        <v>6689</v>
      </c>
      <c r="AJ90" t="s">
        <v>830</v>
      </c>
      <c r="AL90" t="s">
        <v>3618</v>
      </c>
      <c r="AN90" t="s">
        <v>6690</v>
      </c>
      <c r="AP90" t="s">
        <v>3620</v>
      </c>
      <c r="AQ90" t="s">
        <v>3621</v>
      </c>
    </row>
    <row r="91" spans="1:43">
      <c r="A91" t="s">
        <v>311</v>
      </c>
      <c r="B91" t="s">
        <v>1607</v>
      </c>
      <c r="K91" t="s">
        <v>7126</v>
      </c>
      <c r="L91" t="s">
        <v>1278</v>
      </c>
      <c r="M91" t="s">
        <v>1279</v>
      </c>
      <c r="N91" t="s">
        <v>1280</v>
      </c>
      <c r="O91" t="s">
        <v>6101</v>
      </c>
      <c r="P91" t="s">
        <v>1610</v>
      </c>
      <c r="R91" t="s">
        <v>1611</v>
      </c>
      <c r="T91" t="s">
        <v>7127</v>
      </c>
      <c r="V91" t="s">
        <v>7128</v>
      </c>
      <c r="X91" t="s">
        <v>7129</v>
      </c>
      <c r="Z91" t="s">
        <v>7130</v>
      </c>
      <c r="AB91" t="s">
        <v>7131</v>
      </c>
      <c r="AD91" t="s">
        <v>7132</v>
      </c>
      <c r="AF91" t="s">
        <v>7133</v>
      </c>
      <c r="AH91" t="s">
        <v>7134</v>
      </c>
      <c r="AJ91" t="s">
        <v>830</v>
      </c>
      <c r="AL91" t="s">
        <v>1620</v>
      </c>
      <c r="AN91" t="s">
        <v>7135</v>
      </c>
      <c r="AP91" t="s">
        <v>1622</v>
      </c>
      <c r="AQ91" t="s">
        <v>1623</v>
      </c>
    </row>
    <row r="92" spans="1:43">
      <c r="B92" t="s">
        <v>31</v>
      </c>
    </row>
    <row r="93" spans="1:43">
      <c r="B93" t="s">
        <v>1606</v>
      </c>
      <c r="R93" t="s">
        <v>444</v>
      </c>
      <c r="T93" t="s">
        <v>7136</v>
      </c>
      <c r="V93" t="s">
        <v>7137</v>
      </c>
      <c r="X93" t="s">
        <v>7138</v>
      </c>
      <c r="Z93" t="s">
        <v>7139</v>
      </c>
      <c r="AB93" t="s">
        <v>7140</v>
      </c>
      <c r="AD93" t="s">
        <v>7141</v>
      </c>
      <c r="AF93" t="s">
        <v>7142</v>
      </c>
      <c r="AH93" t="s">
        <v>7143</v>
      </c>
      <c r="AJ93" t="s">
        <v>7144</v>
      </c>
      <c r="AL93" t="s">
        <v>7145</v>
      </c>
      <c r="AN93" t="s">
        <v>7146</v>
      </c>
      <c r="AP93" t="s">
        <v>7147</v>
      </c>
      <c r="AQ93" t="s">
        <v>1636</v>
      </c>
    </row>
    <row r="94" spans="1:43">
      <c r="B94" t="s">
        <v>1637</v>
      </c>
    </row>
    <row r="95" spans="1:43">
      <c r="B95" t="s">
        <v>3683</v>
      </c>
      <c r="R95" t="s">
        <v>1590</v>
      </c>
      <c r="T95" t="s">
        <v>7148</v>
      </c>
      <c r="V95" t="s">
        <v>7149</v>
      </c>
      <c r="X95" t="s">
        <v>7150</v>
      </c>
      <c r="Z95" t="s">
        <v>7151</v>
      </c>
      <c r="AB95" t="s">
        <v>7152</v>
      </c>
      <c r="AD95" t="s">
        <v>7153</v>
      </c>
      <c r="AF95" t="s">
        <v>7154</v>
      </c>
      <c r="AH95" t="s">
        <v>7155</v>
      </c>
      <c r="AJ95" t="s">
        <v>7156</v>
      </c>
      <c r="AL95" t="s">
        <v>7157</v>
      </c>
      <c r="AN95" t="s">
        <v>7158</v>
      </c>
      <c r="AP95" t="s">
        <v>7159</v>
      </c>
      <c r="AQ95" t="s">
        <v>1652</v>
      </c>
    </row>
    <row r="96" spans="1:43">
      <c r="B96" t="s">
        <v>7160</v>
      </c>
      <c r="E96" t="s">
        <v>1556</v>
      </c>
      <c r="H96" t="s">
        <v>1605</v>
      </c>
    </row>
    <row r="97" spans="1:43">
      <c r="B97" t="s">
        <v>3766</v>
      </c>
      <c r="R97" t="s">
        <v>445</v>
      </c>
    </row>
    <row r="98" spans="1:43">
      <c r="A98" t="s">
        <v>236</v>
      </c>
      <c r="B98" t="s">
        <v>3733</v>
      </c>
      <c r="K98" t="s">
        <v>7161</v>
      </c>
      <c r="L98" t="s">
        <v>1278</v>
      </c>
      <c r="M98" t="s">
        <v>1279</v>
      </c>
      <c r="N98" t="s">
        <v>1280</v>
      </c>
      <c r="O98" t="s">
        <v>7162</v>
      </c>
      <c r="P98" t="s">
        <v>3736</v>
      </c>
      <c r="R98" t="s">
        <v>7163</v>
      </c>
      <c r="T98" t="s">
        <v>7164</v>
      </c>
      <c r="V98" t="s">
        <v>7165</v>
      </c>
      <c r="X98" t="s">
        <v>7166</v>
      </c>
      <c r="Z98" t="s">
        <v>7167</v>
      </c>
      <c r="AB98" t="s">
        <v>7168</v>
      </c>
      <c r="AD98" t="s">
        <v>7169</v>
      </c>
      <c r="AF98" t="s">
        <v>7170</v>
      </c>
      <c r="AH98" t="s">
        <v>7171</v>
      </c>
      <c r="AJ98" t="s">
        <v>830</v>
      </c>
      <c r="AL98" t="s">
        <v>3746</v>
      </c>
      <c r="AN98" t="s">
        <v>7172</v>
      </c>
      <c r="AP98" t="s">
        <v>3748</v>
      </c>
      <c r="AQ98" t="s">
        <v>1668</v>
      </c>
    </row>
    <row r="99" spans="1:43">
      <c r="B99" t="s">
        <v>31</v>
      </c>
    </row>
    <row r="100" spans="1:43">
      <c r="B100" t="s">
        <v>3766</v>
      </c>
      <c r="R100" t="s">
        <v>448</v>
      </c>
      <c r="T100" t="s">
        <v>7173</v>
      </c>
      <c r="V100" t="s">
        <v>7174</v>
      </c>
      <c r="X100" t="s">
        <v>7175</v>
      </c>
      <c r="Z100" t="s">
        <v>7176</v>
      </c>
      <c r="AB100" t="s">
        <v>7177</v>
      </c>
      <c r="AD100" t="s">
        <v>7178</v>
      </c>
      <c r="AF100" t="s">
        <v>7179</v>
      </c>
      <c r="AH100" t="s">
        <v>7180</v>
      </c>
      <c r="AJ100" t="s">
        <v>7181</v>
      </c>
      <c r="AL100" t="s">
        <v>7182</v>
      </c>
      <c r="AN100" t="s">
        <v>7183</v>
      </c>
      <c r="AP100" t="s">
        <v>7184</v>
      </c>
      <c r="AQ100" t="s">
        <v>3782</v>
      </c>
    </row>
    <row r="101" spans="1:43">
      <c r="B101" t="s">
        <v>7185</v>
      </c>
    </row>
    <row r="102" spans="1:43">
      <c r="B102" t="s">
        <v>62</v>
      </c>
      <c r="N102" t="s">
        <v>7186</v>
      </c>
      <c r="R102" t="s">
        <v>7187</v>
      </c>
      <c r="T102" t="s">
        <v>7188</v>
      </c>
      <c r="V102" t="s">
        <v>7189</v>
      </c>
      <c r="X102" t="s">
        <v>7190</v>
      </c>
      <c r="Z102" t="s">
        <v>7191</v>
      </c>
      <c r="AB102" t="s">
        <v>7192</v>
      </c>
      <c r="AD102" t="s">
        <v>7193</v>
      </c>
      <c r="AF102" t="s">
        <v>7194</v>
      </c>
      <c r="AH102" t="s">
        <v>7195</v>
      </c>
      <c r="AJ102" t="s">
        <v>7196</v>
      </c>
      <c r="AL102" t="s">
        <v>7197</v>
      </c>
      <c r="AN102" t="s">
        <v>7198</v>
      </c>
      <c r="AP102" t="s">
        <v>7199</v>
      </c>
      <c r="AQ102" t="s">
        <v>7200</v>
      </c>
    </row>
    <row r="103" spans="1:43">
      <c r="B103" t="s">
        <v>62</v>
      </c>
    </row>
    <row r="104" spans="1:43">
      <c r="B104" t="s">
        <v>7201</v>
      </c>
      <c r="R104" t="s">
        <v>1654</v>
      </c>
    </row>
    <row r="105" spans="1:43">
      <c r="B105" t="s">
        <v>62</v>
      </c>
      <c r="R105" t="s">
        <v>1655</v>
      </c>
      <c r="T105" t="s">
        <v>7202</v>
      </c>
      <c r="V105" t="s">
        <v>7203</v>
      </c>
      <c r="X105" t="s">
        <v>7204</v>
      </c>
      <c r="Z105" t="s">
        <v>7205</v>
      </c>
      <c r="AB105" t="s">
        <v>7206</v>
      </c>
      <c r="AD105" t="s">
        <v>7207</v>
      </c>
      <c r="AF105" t="s">
        <v>7208</v>
      </c>
      <c r="AH105" t="s">
        <v>7209</v>
      </c>
      <c r="AJ105" t="s">
        <v>7210</v>
      </c>
      <c r="AL105" t="s">
        <v>7211</v>
      </c>
      <c r="AN105" t="s">
        <v>7212</v>
      </c>
      <c r="AP105" t="s">
        <v>7213</v>
      </c>
      <c r="AQ105" t="s">
        <v>7214</v>
      </c>
    </row>
    <row r="106" spans="1:43">
      <c r="B106" t="s">
        <v>62</v>
      </c>
    </row>
    <row r="107" spans="1:43">
      <c r="B107" t="s">
        <v>31</v>
      </c>
    </row>
    <row r="108" spans="1:43">
      <c r="B108" t="s">
        <v>31</v>
      </c>
      <c r="T108" t="s">
        <v>7215</v>
      </c>
      <c r="V108" t="s">
        <v>7216</v>
      </c>
      <c r="X108" t="s">
        <v>7217</v>
      </c>
      <c r="Z108" t="s">
        <v>7218</v>
      </c>
      <c r="AB108" t="s">
        <v>7219</v>
      </c>
      <c r="AD108" t="s">
        <v>7220</v>
      </c>
      <c r="AF108" t="s">
        <v>7221</v>
      </c>
      <c r="AH108" t="s">
        <v>7222</v>
      </c>
      <c r="AJ108" t="s">
        <v>830</v>
      </c>
      <c r="AL108" t="s">
        <v>830</v>
      </c>
      <c r="AN108" t="s">
        <v>7223</v>
      </c>
      <c r="AP108" t="s">
        <v>7224</v>
      </c>
    </row>
    <row r="109" spans="1:43">
      <c r="B109" t="s">
        <v>6835</v>
      </c>
      <c r="E109" t="s">
        <v>451</v>
      </c>
      <c r="R109" t="s">
        <v>452</v>
      </c>
    </row>
    <row r="110" spans="1:43">
      <c r="B110" t="s">
        <v>1727</v>
      </c>
    </row>
    <row r="111" spans="1:43">
      <c r="A111" t="s">
        <v>236</v>
      </c>
      <c r="B111" t="s">
        <v>3817</v>
      </c>
      <c r="K111" t="s">
        <v>7225</v>
      </c>
      <c r="L111" t="s">
        <v>1278</v>
      </c>
      <c r="M111" t="s">
        <v>1279</v>
      </c>
      <c r="N111" t="s">
        <v>1280</v>
      </c>
      <c r="O111" t="s">
        <v>6797</v>
      </c>
      <c r="P111" t="s">
        <v>6798</v>
      </c>
      <c r="R111" t="s">
        <v>6799</v>
      </c>
      <c r="T111" t="s">
        <v>6800</v>
      </c>
      <c r="V111" t="s">
        <v>6801</v>
      </c>
      <c r="X111" t="s">
        <v>6802</v>
      </c>
      <c r="Z111" t="s">
        <v>6803</v>
      </c>
      <c r="AB111" t="s">
        <v>6804</v>
      </c>
      <c r="AD111" t="s">
        <v>6805</v>
      </c>
      <c r="AF111" t="s">
        <v>6806</v>
      </c>
      <c r="AH111" t="s">
        <v>6807</v>
      </c>
      <c r="AJ111" t="s">
        <v>830</v>
      </c>
      <c r="AL111" t="s">
        <v>6808</v>
      </c>
      <c r="AN111" t="s">
        <v>6809</v>
      </c>
      <c r="AP111" t="s">
        <v>6810</v>
      </c>
      <c r="AQ111" t="s">
        <v>1755</v>
      </c>
    </row>
    <row r="112" spans="1:43">
      <c r="A112" t="s">
        <v>311</v>
      </c>
      <c r="B112" t="s">
        <v>6213</v>
      </c>
      <c r="K112" t="s">
        <v>7226</v>
      </c>
      <c r="L112" t="s">
        <v>1278</v>
      </c>
      <c r="M112" t="s">
        <v>1279</v>
      </c>
      <c r="N112" t="s">
        <v>1280</v>
      </c>
      <c r="O112" t="s">
        <v>6215</v>
      </c>
      <c r="P112" t="s">
        <v>6216</v>
      </c>
      <c r="R112" t="s">
        <v>6217</v>
      </c>
      <c r="T112" t="s">
        <v>6218</v>
      </c>
      <c r="V112" t="s">
        <v>6219</v>
      </c>
      <c r="X112" t="s">
        <v>6220</v>
      </c>
      <c r="Z112" t="s">
        <v>6221</v>
      </c>
      <c r="AB112" t="s">
        <v>6222</v>
      </c>
      <c r="AD112" t="s">
        <v>6223</v>
      </c>
      <c r="AF112" t="s">
        <v>6224</v>
      </c>
      <c r="AH112" t="s">
        <v>6225</v>
      </c>
      <c r="AJ112" t="s">
        <v>830</v>
      </c>
      <c r="AL112" t="s">
        <v>6226</v>
      </c>
      <c r="AN112" t="s">
        <v>6227</v>
      </c>
      <c r="AP112" t="s">
        <v>6228</v>
      </c>
      <c r="AQ112" t="s">
        <v>6229</v>
      </c>
    </row>
    <row r="113" spans="1:43">
      <c r="A113" t="s">
        <v>311</v>
      </c>
      <c r="B113" t="s">
        <v>6230</v>
      </c>
      <c r="K113" t="s">
        <v>5661</v>
      </c>
      <c r="L113" t="s">
        <v>1278</v>
      </c>
      <c r="M113" t="s">
        <v>1279</v>
      </c>
      <c r="N113" t="s">
        <v>1280</v>
      </c>
      <c r="O113" t="s">
        <v>6231</v>
      </c>
      <c r="P113" t="s">
        <v>6232</v>
      </c>
      <c r="R113" t="s">
        <v>6233</v>
      </c>
      <c r="T113" t="s">
        <v>6234</v>
      </c>
      <c r="V113" t="s">
        <v>6235</v>
      </c>
      <c r="X113" t="s">
        <v>6236</v>
      </c>
      <c r="Z113" t="s">
        <v>6237</v>
      </c>
      <c r="AB113" t="s">
        <v>6238</v>
      </c>
      <c r="AD113" t="s">
        <v>6239</v>
      </c>
      <c r="AF113" t="s">
        <v>6240</v>
      </c>
      <c r="AH113" t="s">
        <v>6241</v>
      </c>
      <c r="AJ113" t="s">
        <v>830</v>
      </c>
      <c r="AL113" t="s">
        <v>6242</v>
      </c>
      <c r="AN113" t="s">
        <v>6243</v>
      </c>
      <c r="AP113" t="s">
        <v>6244</v>
      </c>
      <c r="AQ113" t="s">
        <v>1766</v>
      </c>
    </row>
    <row r="114" spans="1:43">
      <c r="A114" t="s">
        <v>311</v>
      </c>
      <c r="B114" t="s">
        <v>6245</v>
      </c>
      <c r="K114" t="s">
        <v>6246</v>
      </c>
      <c r="L114" t="s">
        <v>1278</v>
      </c>
      <c r="M114" t="s">
        <v>1279</v>
      </c>
      <c r="N114" t="s">
        <v>1280</v>
      </c>
      <c r="O114" t="s">
        <v>6247</v>
      </c>
      <c r="P114" t="s">
        <v>6248</v>
      </c>
      <c r="R114" t="s">
        <v>6249</v>
      </c>
      <c r="T114" t="s">
        <v>6250</v>
      </c>
      <c r="V114" t="s">
        <v>6251</v>
      </c>
      <c r="X114" t="s">
        <v>6252</v>
      </c>
      <c r="Z114" t="s">
        <v>6253</v>
      </c>
      <c r="AB114" t="s">
        <v>6254</v>
      </c>
      <c r="AD114" t="s">
        <v>6255</v>
      </c>
      <c r="AF114" t="s">
        <v>6256</v>
      </c>
      <c r="AH114" t="s">
        <v>6257</v>
      </c>
      <c r="AJ114" t="s">
        <v>830</v>
      </c>
      <c r="AL114" t="s">
        <v>6258</v>
      </c>
      <c r="AN114" t="s">
        <v>6259</v>
      </c>
      <c r="AP114" t="s">
        <v>6260</v>
      </c>
      <c r="AQ114" t="s">
        <v>1769</v>
      </c>
    </row>
    <row r="115" spans="1:43">
      <c r="B115" t="s">
        <v>31</v>
      </c>
    </row>
    <row r="116" spans="1:43">
      <c r="B116" t="s">
        <v>31</v>
      </c>
      <c r="T116" t="s">
        <v>7227</v>
      </c>
      <c r="V116" t="s">
        <v>7228</v>
      </c>
      <c r="X116" t="s">
        <v>7229</v>
      </c>
      <c r="Z116" t="s">
        <v>7230</v>
      </c>
      <c r="AB116" t="s">
        <v>7231</v>
      </c>
      <c r="AD116" t="s">
        <v>7232</v>
      </c>
      <c r="AF116" t="s">
        <v>7233</v>
      </c>
      <c r="AH116" t="s">
        <v>7234</v>
      </c>
      <c r="AJ116" t="s">
        <v>7235</v>
      </c>
      <c r="AL116" t="s">
        <v>7236</v>
      </c>
      <c r="AN116" t="s">
        <v>7237</v>
      </c>
      <c r="AP116" t="s">
        <v>7238</v>
      </c>
      <c r="AQ116" t="s">
        <v>1791</v>
      </c>
    </row>
    <row r="117" spans="1:43">
      <c r="A117" t="s">
        <v>236</v>
      </c>
      <c r="B117" t="s">
        <v>6835</v>
      </c>
      <c r="K117" t="s">
        <v>1711</v>
      </c>
      <c r="L117" t="s">
        <v>1278</v>
      </c>
      <c r="M117" t="s">
        <v>1279</v>
      </c>
      <c r="N117" t="s">
        <v>1280</v>
      </c>
      <c r="O117" t="s">
        <v>3906</v>
      </c>
      <c r="P117" t="s">
        <v>1713</v>
      </c>
      <c r="R117" t="s">
        <v>457</v>
      </c>
      <c r="T117" t="s">
        <v>7239</v>
      </c>
      <c r="V117" t="s">
        <v>7240</v>
      </c>
      <c r="X117" t="s">
        <v>7241</v>
      </c>
      <c r="Z117" t="s">
        <v>7242</v>
      </c>
      <c r="AB117" t="s">
        <v>7243</v>
      </c>
      <c r="AD117" t="s">
        <v>7244</v>
      </c>
      <c r="AF117" t="s">
        <v>7245</v>
      </c>
      <c r="AH117" t="s">
        <v>7246</v>
      </c>
      <c r="AJ117" t="s">
        <v>7247</v>
      </c>
      <c r="AL117" t="s">
        <v>3916</v>
      </c>
      <c r="AN117" t="s">
        <v>7248</v>
      </c>
      <c r="AP117" t="s">
        <v>7249</v>
      </c>
      <c r="AQ117" t="s">
        <v>3919</v>
      </c>
    </row>
    <row r="118" spans="1:43">
      <c r="B118" t="s">
        <v>7250</v>
      </c>
    </row>
    <row r="119" spans="1:43">
      <c r="B119" t="s">
        <v>7251</v>
      </c>
      <c r="R119" t="s">
        <v>458</v>
      </c>
      <c r="T119" t="s">
        <v>7252</v>
      </c>
      <c r="V119" t="s">
        <v>7253</v>
      </c>
      <c r="X119" t="s">
        <v>7254</v>
      </c>
      <c r="Z119" t="s">
        <v>7255</v>
      </c>
      <c r="AB119" t="s">
        <v>7256</v>
      </c>
      <c r="AD119" t="s">
        <v>7257</v>
      </c>
      <c r="AF119" t="s">
        <v>7258</v>
      </c>
      <c r="AH119" t="s">
        <v>7259</v>
      </c>
      <c r="AJ119" t="s">
        <v>7260</v>
      </c>
      <c r="AL119" t="s">
        <v>7261</v>
      </c>
      <c r="AN119" t="s">
        <v>7262</v>
      </c>
      <c r="AP119" t="s">
        <v>7263</v>
      </c>
      <c r="AQ119" t="s">
        <v>3953</v>
      </c>
    </row>
    <row r="120" spans="1:43">
      <c r="B120" t="s">
        <v>7250</v>
      </c>
    </row>
    <row r="121" spans="1:43">
      <c r="B121" t="s">
        <v>62</v>
      </c>
      <c r="R121" t="s">
        <v>1742</v>
      </c>
      <c r="T121" t="s">
        <v>7264</v>
      </c>
      <c r="V121" t="s">
        <v>7265</v>
      </c>
      <c r="X121" t="s">
        <v>7266</v>
      </c>
      <c r="Z121" t="s">
        <v>7267</v>
      </c>
      <c r="AB121" t="s">
        <v>7268</v>
      </c>
      <c r="AD121" t="s">
        <v>7269</v>
      </c>
      <c r="AF121" t="s">
        <v>7270</v>
      </c>
      <c r="AH121" t="s">
        <v>7271</v>
      </c>
      <c r="AJ121" t="s">
        <v>7272</v>
      </c>
      <c r="AL121" t="s">
        <v>7273</v>
      </c>
      <c r="AN121" t="s">
        <v>7274</v>
      </c>
      <c r="AP121" t="s">
        <v>7275</v>
      </c>
      <c r="AQ121" t="s">
        <v>3989</v>
      </c>
    </row>
    <row r="122" spans="1:43">
      <c r="B122" t="s">
        <v>62</v>
      </c>
    </row>
    <row r="123" spans="1:43">
      <c r="B123" t="s">
        <v>31</v>
      </c>
      <c r="O123" t="s">
        <v>459</v>
      </c>
      <c r="P123" t="s">
        <v>1756</v>
      </c>
      <c r="R123" t="s">
        <v>460</v>
      </c>
      <c r="T123" t="s">
        <v>7276</v>
      </c>
      <c r="V123" t="s">
        <v>7277</v>
      </c>
      <c r="X123" t="s">
        <v>7278</v>
      </c>
      <c r="Z123" t="s">
        <v>7279</v>
      </c>
      <c r="AB123" t="s">
        <v>7280</v>
      </c>
      <c r="AD123" t="s">
        <v>7281</v>
      </c>
      <c r="AF123" t="s">
        <v>7282</v>
      </c>
      <c r="AH123" t="s">
        <v>7283</v>
      </c>
      <c r="AJ123" t="s">
        <v>830</v>
      </c>
      <c r="AL123" t="s">
        <v>6879</v>
      </c>
      <c r="AN123" t="s">
        <v>830</v>
      </c>
      <c r="AP123" t="s">
        <v>830</v>
      </c>
      <c r="AQ123" t="s">
        <v>4025</v>
      </c>
    </row>
    <row r="124" spans="1:43">
      <c r="B124" t="s">
        <v>31</v>
      </c>
      <c r="R124" t="s">
        <v>461</v>
      </c>
      <c r="T124" t="s">
        <v>830</v>
      </c>
      <c r="V124" t="s">
        <v>830</v>
      </c>
      <c r="X124" t="s">
        <v>830</v>
      </c>
      <c r="Z124" t="s">
        <v>830</v>
      </c>
      <c r="AB124" t="s">
        <v>830</v>
      </c>
      <c r="AF124" t="s">
        <v>7284</v>
      </c>
      <c r="AH124" t="s">
        <v>7285</v>
      </c>
      <c r="AJ124" t="s">
        <v>830</v>
      </c>
      <c r="AN124" t="s">
        <v>830</v>
      </c>
      <c r="AP124" t="s">
        <v>830</v>
      </c>
      <c r="AQ124" t="s">
        <v>4042</v>
      </c>
    </row>
    <row r="125" spans="1:43">
      <c r="B125" t="s">
        <v>31</v>
      </c>
      <c r="R125" t="s">
        <v>462</v>
      </c>
      <c r="T125" t="s">
        <v>7286</v>
      </c>
      <c r="V125" t="s">
        <v>7287</v>
      </c>
      <c r="X125" t="s">
        <v>7288</v>
      </c>
      <c r="Z125" t="s">
        <v>7289</v>
      </c>
      <c r="AB125" t="s">
        <v>7290</v>
      </c>
      <c r="AD125" t="s">
        <v>7291</v>
      </c>
      <c r="AF125" t="s">
        <v>7292</v>
      </c>
      <c r="AH125" t="s">
        <v>7293</v>
      </c>
      <c r="AJ125" t="s">
        <v>830</v>
      </c>
      <c r="AL125" t="s">
        <v>7294</v>
      </c>
      <c r="AN125" t="s">
        <v>830</v>
      </c>
      <c r="AP125" t="s">
        <v>830</v>
      </c>
      <c r="AQ125" t="s">
        <v>4059</v>
      </c>
    </row>
    <row r="126" spans="1:43">
      <c r="B126" t="s">
        <v>62</v>
      </c>
      <c r="O126" t="s">
        <v>459</v>
      </c>
      <c r="P126" t="s">
        <v>1756</v>
      </c>
      <c r="R126" t="s">
        <v>1780</v>
      </c>
      <c r="T126" t="s">
        <v>7295</v>
      </c>
      <c r="V126" t="s">
        <v>7296</v>
      </c>
      <c r="X126" t="s">
        <v>7297</v>
      </c>
      <c r="Z126" t="s">
        <v>7298</v>
      </c>
      <c r="AB126" t="s">
        <v>7299</v>
      </c>
      <c r="AD126" t="s">
        <v>7300</v>
      </c>
      <c r="AF126" t="s">
        <v>7301</v>
      </c>
      <c r="AH126" t="s">
        <v>7302</v>
      </c>
      <c r="AJ126" t="s">
        <v>830</v>
      </c>
      <c r="AL126" t="s">
        <v>6339</v>
      </c>
      <c r="AN126" t="s">
        <v>830</v>
      </c>
      <c r="AP126" t="s">
        <v>7303</v>
      </c>
      <c r="AQ126" t="s">
        <v>4076</v>
      </c>
    </row>
    <row r="127" spans="1:43">
      <c r="B127" t="s">
        <v>62</v>
      </c>
    </row>
    <row r="128" spans="1:43">
      <c r="B128" t="s">
        <v>62</v>
      </c>
      <c r="R128" t="s">
        <v>1792</v>
      </c>
      <c r="T128" t="s">
        <v>7304</v>
      </c>
      <c r="V128" t="s">
        <v>7305</v>
      </c>
      <c r="X128" t="s">
        <v>7306</v>
      </c>
      <c r="Z128" t="s">
        <v>7307</v>
      </c>
      <c r="AB128" t="s">
        <v>7308</v>
      </c>
      <c r="AD128" t="s">
        <v>7309</v>
      </c>
      <c r="AF128" t="s">
        <v>7310</v>
      </c>
      <c r="AH128" t="s">
        <v>7311</v>
      </c>
      <c r="AJ128" t="s">
        <v>7312</v>
      </c>
      <c r="AL128" t="s">
        <v>7313</v>
      </c>
      <c r="AN128" t="s">
        <v>7314</v>
      </c>
      <c r="AP128" t="s">
        <v>7315</v>
      </c>
      <c r="AQ128" t="s">
        <v>7316</v>
      </c>
    </row>
    <row r="129" spans="2:43">
      <c r="B129" t="s">
        <v>1873</v>
      </c>
    </row>
    <row r="130" spans="2:43">
      <c r="B130" t="s">
        <v>1882</v>
      </c>
      <c r="AQ130" t="s">
        <v>7317</v>
      </c>
    </row>
    <row r="131" spans="2:43">
      <c r="B131" t="s">
        <v>6362</v>
      </c>
    </row>
    <row r="132" spans="2:43">
      <c r="B132" t="s">
        <v>6364</v>
      </c>
      <c r="T132" t="s">
        <v>301</v>
      </c>
      <c r="V132" t="s">
        <v>1811</v>
      </c>
      <c r="X132" t="s">
        <v>1811</v>
      </c>
      <c r="Z132" t="s">
        <v>1811</v>
      </c>
      <c r="AB132" t="s">
        <v>1812</v>
      </c>
      <c r="AD132" t="s">
        <v>1813</v>
      </c>
      <c r="AF132" t="s">
        <v>1814</v>
      </c>
      <c r="AH132" t="s">
        <v>1815</v>
      </c>
      <c r="AJ132" t="s">
        <v>1816</v>
      </c>
      <c r="AL132" t="s">
        <v>1817</v>
      </c>
      <c r="AN132" t="s">
        <v>1818</v>
      </c>
      <c r="AP132" t="s">
        <v>1819</v>
      </c>
    </row>
    <row r="133" spans="2:43">
      <c r="B133" t="s">
        <v>6365</v>
      </c>
      <c r="T133" t="s">
        <v>1821</v>
      </c>
      <c r="V133" t="s">
        <v>1822</v>
      </c>
      <c r="X133" t="s">
        <v>1823</v>
      </c>
      <c r="Z133" t="s">
        <v>1824</v>
      </c>
      <c r="AB133" t="s">
        <v>1825</v>
      </c>
      <c r="AD133" t="s">
        <v>1826</v>
      </c>
      <c r="AF133" t="s">
        <v>1827</v>
      </c>
      <c r="AH133" t="s">
        <v>1828</v>
      </c>
      <c r="AJ133" t="s">
        <v>1829</v>
      </c>
      <c r="AL133" t="s">
        <v>1830</v>
      </c>
      <c r="AN133" t="s">
        <v>1831</v>
      </c>
      <c r="AP133" t="s">
        <v>1832</v>
      </c>
    </row>
    <row r="134" spans="2:43">
      <c r="B134" t="s">
        <v>6366</v>
      </c>
      <c r="T134" t="s">
        <v>1834</v>
      </c>
      <c r="V134" t="s">
        <v>1835</v>
      </c>
      <c r="X134" t="s">
        <v>1836</v>
      </c>
      <c r="Z134" t="s">
        <v>1837</v>
      </c>
      <c r="AB134" t="s">
        <v>1838</v>
      </c>
      <c r="AD134" t="s">
        <v>1839</v>
      </c>
      <c r="AF134" t="s">
        <v>1840</v>
      </c>
      <c r="AH134" t="s">
        <v>1841</v>
      </c>
      <c r="AJ134" t="s">
        <v>1842</v>
      </c>
      <c r="AL134" t="s">
        <v>1843</v>
      </c>
      <c r="AN134" t="s">
        <v>1844</v>
      </c>
      <c r="AP134" t="s">
        <v>1845</v>
      </c>
    </row>
    <row r="135" spans="2:43">
      <c r="B135" t="s">
        <v>6367</v>
      </c>
    </row>
    <row r="136" spans="2:43">
      <c r="B136" t="s">
        <v>1099</v>
      </c>
      <c r="P136" t="s">
        <v>463</v>
      </c>
      <c r="T136" t="s">
        <v>7318</v>
      </c>
      <c r="V136" t="s">
        <v>7319</v>
      </c>
      <c r="X136" t="s">
        <v>7320</v>
      </c>
      <c r="Z136" t="s">
        <v>7321</v>
      </c>
      <c r="AB136" t="s">
        <v>7322</v>
      </c>
      <c r="AD136" t="s">
        <v>7323</v>
      </c>
      <c r="AF136" t="s">
        <v>7324</v>
      </c>
      <c r="AH136" t="s">
        <v>7325</v>
      </c>
      <c r="AJ136" t="s">
        <v>830</v>
      </c>
      <c r="AL136" t="s">
        <v>830</v>
      </c>
      <c r="AN136" t="s">
        <v>830</v>
      </c>
      <c r="AP136" t="s">
        <v>830</v>
      </c>
    </row>
    <row r="137" spans="2:43">
      <c r="B137" t="s">
        <v>1100</v>
      </c>
      <c r="P137" t="s">
        <v>464</v>
      </c>
      <c r="T137" t="s">
        <v>7326</v>
      </c>
      <c r="V137" t="s">
        <v>7327</v>
      </c>
      <c r="X137" t="s">
        <v>7328</v>
      </c>
      <c r="Z137" t="s">
        <v>7329</v>
      </c>
      <c r="AB137" t="s">
        <v>7330</v>
      </c>
      <c r="AD137" t="s">
        <v>7331</v>
      </c>
      <c r="AF137" t="s">
        <v>7332</v>
      </c>
      <c r="AH137" t="s">
        <v>7333</v>
      </c>
      <c r="AJ137" t="s">
        <v>830</v>
      </c>
      <c r="AL137" t="s">
        <v>830</v>
      </c>
      <c r="AN137" t="s">
        <v>830</v>
      </c>
      <c r="AP137" t="s">
        <v>830</v>
      </c>
    </row>
    <row r="138" spans="2:43">
      <c r="B138" t="s">
        <v>1101</v>
      </c>
      <c r="P138" t="s">
        <v>451</v>
      </c>
      <c r="T138" t="s">
        <v>7334</v>
      </c>
      <c r="V138" t="s">
        <v>7335</v>
      </c>
      <c r="X138" t="s">
        <v>7336</v>
      </c>
      <c r="Z138" t="s">
        <v>7337</v>
      </c>
      <c r="AB138" t="s">
        <v>7338</v>
      </c>
      <c r="AD138" t="s">
        <v>7339</v>
      </c>
      <c r="AF138" t="s">
        <v>7340</v>
      </c>
      <c r="AH138" t="s">
        <v>7341</v>
      </c>
      <c r="AJ138" t="s">
        <v>830</v>
      </c>
      <c r="AL138" t="s">
        <v>830</v>
      </c>
      <c r="AN138" t="s">
        <v>830</v>
      </c>
      <c r="AP138" t="s">
        <v>830</v>
      </c>
    </row>
    <row r="139" spans="2:43">
      <c r="B139" t="s">
        <v>1102</v>
      </c>
      <c r="P139" t="s">
        <v>465</v>
      </c>
      <c r="T139" t="s">
        <v>7342</v>
      </c>
      <c r="V139" t="s">
        <v>7343</v>
      </c>
      <c r="X139" t="s">
        <v>7344</v>
      </c>
      <c r="Z139" t="s">
        <v>7345</v>
      </c>
      <c r="AB139" t="s">
        <v>7346</v>
      </c>
      <c r="AD139" t="s">
        <v>7347</v>
      </c>
      <c r="AF139" t="s">
        <v>7348</v>
      </c>
      <c r="AH139" t="s">
        <v>7349</v>
      </c>
      <c r="AJ139" t="s">
        <v>830</v>
      </c>
      <c r="AL139" t="s">
        <v>830</v>
      </c>
      <c r="AN139" t="s">
        <v>830</v>
      </c>
      <c r="AP139" t="s">
        <v>830</v>
      </c>
    </row>
    <row r="140" spans="2:43">
      <c r="B140" t="s">
        <v>1105</v>
      </c>
    </row>
    <row r="141" spans="2:43">
      <c r="B141" t="s">
        <v>7350</v>
      </c>
      <c r="R141" t="s">
        <v>7351</v>
      </c>
      <c r="V141" t="s">
        <v>7352</v>
      </c>
      <c r="X141" t="s">
        <v>7353</v>
      </c>
      <c r="Z141" t="s">
        <v>7354</v>
      </c>
      <c r="AB141" t="s">
        <v>7355</v>
      </c>
      <c r="AD141" t="s">
        <v>7356</v>
      </c>
      <c r="AF141" t="s">
        <v>7357</v>
      </c>
      <c r="AH141" t="s">
        <v>7358</v>
      </c>
      <c r="AN141" t="s">
        <v>7359</v>
      </c>
    </row>
    <row r="142" spans="2:43">
      <c r="B142" t="s">
        <v>31</v>
      </c>
    </row>
    <row r="143" spans="2:43">
      <c r="B143" t="s">
        <v>31</v>
      </c>
      <c r="T143" t="s">
        <v>461</v>
      </c>
      <c r="AD143" t="s">
        <v>466</v>
      </c>
      <c r="AF143" t="s">
        <v>466</v>
      </c>
    </row>
    <row r="144" spans="2:43">
      <c r="B144" t="s">
        <v>31</v>
      </c>
      <c r="P144" t="s">
        <v>463</v>
      </c>
      <c r="T144" t="s">
        <v>7360</v>
      </c>
      <c r="AD144" t="s">
        <v>7361</v>
      </c>
      <c r="AF144" t="s">
        <v>7362</v>
      </c>
    </row>
    <row r="145" spans="2:32">
      <c r="B145" t="s">
        <v>31</v>
      </c>
      <c r="P145" t="s">
        <v>464</v>
      </c>
      <c r="T145" t="s">
        <v>5837</v>
      </c>
      <c r="AD145" t="s">
        <v>7363</v>
      </c>
      <c r="AF145" t="s">
        <v>7364</v>
      </c>
    </row>
    <row r="146" spans="2:32">
      <c r="B146" t="s">
        <v>31</v>
      </c>
      <c r="P146" t="s">
        <v>451</v>
      </c>
      <c r="T146" t="s">
        <v>7365</v>
      </c>
      <c r="AD146" t="s">
        <v>6413</v>
      </c>
      <c r="AF146" t="s">
        <v>6414</v>
      </c>
    </row>
    <row r="147" spans="2:32">
      <c r="B147" t="s">
        <v>31</v>
      </c>
      <c r="AD147" t="s">
        <v>7366</v>
      </c>
      <c r="AF147" t="s">
        <v>7367</v>
      </c>
    </row>
    <row r="148" spans="2:32">
      <c r="B148" t="s">
        <v>1122</v>
      </c>
    </row>
    <row r="149" spans="2:32">
      <c r="B149" t="s">
        <v>6420</v>
      </c>
    </row>
    <row r="150" spans="2:32">
      <c r="B150" t="s">
        <v>6421</v>
      </c>
      <c r="P150" t="s">
        <v>1277</v>
      </c>
      <c r="R150" t="s">
        <v>467</v>
      </c>
      <c r="X150" t="s">
        <v>7368</v>
      </c>
      <c r="Z150" t="s">
        <v>7369</v>
      </c>
      <c r="AB150" t="s">
        <v>7370</v>
      </c>
    </row>
    <row r="151" spans="2:32">
      <c r="B151" t="s">
        <v>6422</v>
      </c>
      <c r="P151" t="s">
        <v>1907</v>
      </c>
      <c r="R151" t="s">
        <v>468</v>
      </c>
      <c r="V151" t="s">
        <v>1908</v>
      </c>
      <c r="X151" t="s">
        <v>6963</v>
      </c>
      <c r="Z151" t="s">
        <v>7371</v>
      </c>
      <c r="AB151" t="s">
        <v>6965</v>
      </c>
    </row>
    <row r="152" spans="2:32">
      <c r="B152" t="s">
        <v>6426</v>
      </c>
      <c r="P152" t="s">
        <v>556</v>
      </c>
      <c r="R152" t="s">
        <v>469</v>
      </c>
      <c r="V152" t="s">
        <v>1908</v>
      </c>
      <c r="X152" t="s">
        <v>6427</v>
      </c>
      <c r="Z152" t="s">
        <v>7372</v>
      </c>
      <c r="AB152" t="s">
        <v>6429</v>
      </c>
    </row>
    <row r="153" spans="2:32">
      <c r="B153" t="s">
        <v>6430</v>
      </c>
      <c r="P153" t="s">
        <v>1915</v>
      </c>
      <c r="R153" t="s">
        <v>439</v>
      </c>
      <c r="V153" t="s">
        <v>470</v>
      </c>
      <c r="X153" t="s">
        <v>6431</v>
      </c>
      <c r="Z153" t="s">
        <v>7373</v>
      </c>
      <c r="AB153" t="s">
        <v>6433</v>
      </c>
    </row>
    <row r="154" spans="2:32">
      <c r="B154" t="s">
        <v>6434</v>
      </c>
      <c r="P154" t="s">
        <v>6970</v>
      </c>
      <c r="R154" t="s">
        <v>439</v>
      </c>
      <c r="V154" t="s">
        <v>470</v>
      </c>
      <c r="X154" t="s">
        <v>6435</v>
      </c>
      <c r="Z154" t="s">
        <v>7374</v>
      </c>
      <c r="AB154" t="s">
        <v>6437</v>
      </c>
    </row>
    <row r="155" spans="2:32">
      <c r="B155" t="s">
        <v>4512</v>
      </c>
      <c r="P155" t="s">
        <v>6438</v>
      </c>
      <c r="R155" t="s">
        <v>439</v>
      </c>
      <c r="V155" t="s">
        <v>470</v>
      </c>
      <c r="X155" t="s">
        <v>6439</v>
      </c>
      <c r="Z155" t="s">
        <v>7375</v>
      </c>
      <c r="AB155" t="s">
        <v>6441</v>
      </c>
    </row>
    <row r="156" spans="2:32">
      <c r="B156" t="s">
        <v>6442</v>
      </c>
      <c r="P156" t="s">
        <v>6443</v>
      </c>
      <c r="R156" t="s">
        <v>439</v>
      </c>
      <c r="V156" t="s">
        <v>470</v>
      </c>
      <c r="X156" t="s">
        <v>6444</v>
      </c>
      <c r="Z156" t="s">
        <v>7376</v>
      </c>
      <c r="AB156" t="s">
        <v>6446</v>
      </c>
    </row>
    <row r="157" spans="2:32">
      <c r="B157" t="s">
        <v>6447</v>
      </c>
      <c r="R157" t="s">
        <v>471</v>
      </c>
      <c r="Z157" t="s">
        <v>7377</v>
      </c>
      <c r="AB157" t="s">
        <v>6451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BF160"/>
  <sheetViews>
    <sheetView workbookViewId="0"/>
  </sheetViews>
  <sheetFormatPr defaultRowHeight="12.75"/>
  <sheetData>
    <row r="1" spans="1:58">
      <c r="A1" t="s">
        <v>7378</v>
      </c>
      <c r="B1" t="s">
        <v>53</v>
      </c>
      <c r="C1" t="s">
        <v>31</v>
      </c>
      <c r="D1" t="s">
        <v>31</v>
      </c>
      <c r="E1" t="s">
        <v>31</v>
      </c>
      <c r="F1" t="s">
        <v>31</v>
      </c>
      <c r="G1" t="s">
        <v>234</v>
      </c>
      <c r="H1" t="s">
        <v>31</v>
      </c>
      <c r="I1" t="s">
        <v>31</v>
      </c>
      <c r="J1" t="s">
        <v>31</v>
      </c>
      <c r="K1" t="s">
        <v>31</v>
      </c>
      <c r="L1" t="s">
        <v>235</v>
      </c>
      <c r="M1" t="s">
        <v>235</v>
      </c>
      <c r="N1" t="s">
        <v>235</v>
      </c>
      <c r="O1" t="s">
        <v>235</v>
      </c>
      <c r="P1" t="s">
        <v>1170</v>
      </c>
      <c r="Q1" t="s">
        <v>1171</v>
      </c>
      <c r="R1" t="s">
        <v>62</v>
      </c>
      <c r="S1" t="s">
        <v>31</v>
      </c>
      <c r="T1" t="s">
        <v>31</v>
      </c>
      <c r="V1" t="s">
        <v>1172</v>
      </c>
      <c r="W1" t="s">
        <v>1173</v>
      </c>
      <c r="X1" t="s">
        <v>1174</v>
      </c>
      <c r="Y1" t="s">
        <v>1175</v>
      </c>
      <c r="Z1" t="s">
        <v>1176</v>
      </c>
      <c r="AA1" t="s">
        <v>1177</v>
      </c>
      <c r="AB1" t="s">
        <v>1178</v>
      </c>
      <c r="AC1" t="s">
        <v>1179</v>
      </c>
      <c r="AD1" t="s">
        <v>1180</v>
      </c>
      <c r="AE1" t="s">
        <v>1181</v>
      </c>
      <c r="AF1" t="s">
        <v>1182</v>
      </c>
      <c r="AG1" t="s">
        <v>1183</v>
      </c>
      <c r="AH1" t="s">
        <v>1184</v>
      </c>
      <c r="AI1" t="s">
        <v>1185</v>
      </c>
      <c r="AJ1" t="s">
        <v>1186</v>
      </c>
      <c r="AK1" t="s">
        <v>1185</v>
      </c>
      <c r="AL1" t="s">
        <v>62</v>
      </c>
      <c r="AM1" t="s">
        <v>1187</v>
      </c>
      <c r="AN1" t="s">
        <v>31</v>
      </c>
      <c r="AO1" t="s">
        <v>31</v>
      </c>
      <c r="AP1" t="s">
        <v>236</v>
      </c>
      <c r="AQ1" t="s">
        <v>31</v>
      </c>
      <c r="AS1" t="s">
        <v>236</v>
      </c>
      <c r="AT1" t="s">
        <v>237</v>
      </c>
      <c r="AU1" t="s">
        <v>237</v>
      </c>
      <c r="AV1" t="s">
        <v>237</v>
      </c>
      <c r="AW1" t="s">
        <v>237</v>
      </c>
      <c r="AX1" t="s">
        <v>237</v>
      </c>
      <c r="AY1" t="s">
        <v>237</v>
      </c>
      <c r="AZ1" t="s">
        <v>237</v>
      </c>
      <c r="BA1" t="s">
        <v>237</v>
      </c>
      <c r="BB1" t="s">
        <v>237</v>
      </c>
      <c r="BC1" t="s">
        <v>237</v>
      </c>
      <c r="BD1" t="s">
        <v>237</v>
      </c>
      <c r="BE1" t="s">
        <v>237</v>
      </c>
      <c r="BF1" t="s">
        <v>237</v>
      </c>
    </row>
    <row r="2" spans="1:58">
      <c r="B2" t="s">
        <v>7379</v>
      </c>
      <c r="C2" t="s">
        <v>1189</v>
      </c>
      <c r="T2" t="s">
        <v>1190</v>
      </c>
      <c r="V2" t="s">
        <v>1191</v>
      </c>
      <c r="X2" t="s">
        <v>1192</v>
      </c>
      <c r="Z2" t="s">
        <v>1193</v>
      </c>
      <c r="AB2" t="s">
        <v>1194</v>
      </c>
      <c r="AD2" t="s">
        <v>1195</v>
      </c>
      <c r="AF2" t="s">
        <v>1196</v>
      </c>
      <c r="AH2" t="s">
        <v>1190</v>
      </c>
      <c r="AJ2" t="s">
        <v>1197</v>
      </c>
    </row>
    <row r="3" spans="1:58">
      <c r="B3" t="s">
        <v>31</v>
      </c>
      <c r="C3" t="s">
        <v>1198</v>
      </c>
      <c r="H3" t="s">
        <v>238</v>
      </c>
      <c r="I3" t="s">
        <v>239</v>
      </c>
      <c r="J3" t="s">
        <v>240</v>
      </c>
      <c r="T3" t="s">
        <v>1199</v>
      </c>
      <c r="V3" t="s">
        <v>1200</v>
      </c>
      <c r="X3" t="s">
        <v>1201</v>
      </c>
      <c r="Z3" t="s">
        <v>1202</v>
      </c>
      <c r="AB3" t="s">
        <v>1203</v>
      </c>
      <c r="AD3" t="s">
        <v>1204</v>
      </c>
      <c r="AF3" t="s">
        <v>1205</v>
      </c>
      <c r="AH3" t="s">
        <v>1199</v>
      </c>
      <c r="AJ3" t="s">
        <v>1206</v>
      </c>
      <c r="AN3" t="s">
        <v>1207</v>
      </c>
      <c r="AP3" t="s">
        <v>1207</v>
      </c>
    </row>
    <row r="4" spans="1:58">
      <c r="B4" t="s">
        <v>31</v>
      </c>
      <c r="E4" t="s">
        <v>248</v>
      </c>
      <c r="F4" t="s">
        <v>1208</v>
      </c>
      <c r="H4" t="s">
        <v>1209</v>
      </c>
      <c r="I4" t="s">
        <v>1210</v>
      </c>
      <c r="J4" t="s">
        <v>1211</v>
      </c>
      <c r="T4" t="s">
        <v>251</v>
      </c>
      <c r="V4" t="s">
        <v>251</v>
      </c>
      <c r="X4" t="s">
        <v>251</v>
      </c>
      <c r="Z4" t="s">
        <v>251</v>
      </c>
      <c r="AB4" t="s">
        <v>251</v>
      </c>
      <c r="AD4" t="s">
        <v>252</v>
      </c>
      <c r="AF4" t="s">
        <v>252</v>
      </c>
      <c r="AH4" t="s">
        <v>251</v>
      </c>
      <c r="AJ4" t="s">
        <v>252</v>
      </c>
      <c r="AL4" t="s">
        <v>252</v>
      </c>
      <c r="AN4" t="s">
        <v>252</v>
      </c>
      <c r="AP4" t="s">
        <v>252</v>
      </c>
    </row>
    <row r="5" spans="1:58">
      <c r="B5" t="s">
        <v>31</v>
      </c>
      <c r="C5" t="s">
        <v>253</v>
      </c>
      <c r="D5" t="s">
        <v>74</v>
      </c>
      <c r="E5" t="s">
        <v>87</v>
      </c>
      <c r="F5" t="s">
        <v>803</v>
      </c>
      <c r="H5" t="s">
        <v>1212</v>
      </c>
      <c r="I5" t="s">
        <v>1213</v>
      </c>
      <c r="J5" t="s">
        <v>1214</v>
      </c>
      <c r="T5" t="s">
        <v>1215</v>
      </c>
      <c r="V5" t="s">
        <v>1216</v>
      </c>
      <c r="X5" t="s">
        <v>1217</v>
      </c>
      <c r="Z5" t="s">
        <v>1218</v>
      </c>
      <c r="AB5" t="s">
        <v>1219</v>
      </c>
      <c r="AD5" t="s">
        <v>1220</v>
      </c>
      <c r="AF5" t="s">
        <v>1221</v>
      </c>
      <c r="AH5" t="s">
        <v>1215</v>
      </c>
      <c r="AJ5" t="s">
        <v>1222</v>
      </c>
      <c r="AN5" t="s">
        <v>1223</v>
      </c>
      <c r="AP5" t="s">
        <v>1223</v>
      </c>
    </row>
    <row r="6" spans="1:58">
      <c r="B6" t="s">
        <v>31</v>
      </c>
      <c r="C6" t="s">
        <v>255</v>
      </c>
      <c r="D6" t="s">
        <v>807</v>
      </c>
      <c r="E6" t="s">
        <v>256</v>
      </c>
      <c r="F6" t="s">
        <v>1224</v>
      </c>
      <c r="H6" t="s">
        <v>1225</v>
      </c>
      <c r="I6" t="s">
        <v>1226</v>
      </c>
      <c r="J6" t="s">
        <v>1227</v>
      </c>
      <c r="AD6" t="s">
        <v>99</v>
      </c>
      <c r="AF6" t="s">
        <v>99</v>
      </c>
      <c r="AJ6" t="s">
        <v>99</v>
      </c>
      <c r="AN6" t="s">
        <v>99</v>
      </c>
      <c r="AP6" t="s">
        <v>99</v>
      </c>
    </row>
    <row r="7" spans="1:58">
      <c r="B7" t="s">
        <v>31</v>
      </c>
      <c r="C7" t="s">
        <v>65</v>
      </c>
      <c r="D7" t="s">
        <v>817</v>
      </c>
      <c r="E7" t="s">
        <v>258</v>
      </c>
      <c r="F7" t="s">
        <v>1228</v>
      </c>
      <c r="H7" t="s">
        <v>1229</v>
      </c>
      <c r="I7" t="s">
        <v>1230</v>
      </c>
      <c r="J7" t="s">
        <v>1207</v>
      </c>
      <c r="AD7" t="s">
        <v>260</v>
      </c>
      <c r="AF7" t="s">
        <v>260</v>
      </c>
      <c r="AN7" t="s">
        <v>260</v>
      </c>
      <c r="AP7" t="s">
        <v>260</v>
      </c>
    </row>
    <row r="8" spans="1:58">
      <c r="B8" t="s">
        <v>31</v>
      </c>
      <c r="C8" t="s">
        <v>261</v>
      </c>
      <c r="D8" t="s">
        <v>99</v>
      </c>
      <c r="E8" t="s">
        <v>262</v>
      </c>
      <c r="F8" t="s">
        <v>1231</v>
      </c>
      <c r="H8" t="s">
        <v>1232</v>
      </c>
      <c r="I8" t="s">
        <v>1233</v>
      </c>
      <c r="AD8" t="s">
        <v>1234</v>
      </c>
      <c r="AF8" t="s">
        <v>1235</v>
      </c>
    </row>
    <row r="9" spans="1:58">
      <c r="B9" t="s">
        <v>31</v>
      </c>
      <c r="C9" t="s">
        <v>263</v>
      </c>
      <c r="D9" t="s">
        <v>59</v>
      </c>
      <c r="E9" t="s">
        <v>264</v>
      </c>
      <c r="F9" t="s">
        <v>1236</v>
      </c>
      <c r="H9" t="s">
        <v>1237</v>
      </c>
      <c r="I9" t="s">
        <v>1238</v>
      </c>
    </row>
    <row r="10" spans="1:58">
      <c r="B10" t="s">
        <v>31</v>
      </c>
      <c r="C10" t="s">
        <v>265</v>
      </c>
      <c r="D10" t="s">
        <v>1239</v>
      </c>
      <c r="E10" t="s">
        <v>266</v>
      </c>
      <c r="F10" t="s">
        <v>1240</v>
      </c>
      <c r="H10" t="s">
        <v>1241</v>
      </c>
      <c r="I10" t="s">
        <v>1242</v>
      </c>
    </row>
    <row r="11" spans="1:58">
      <c r="B11" t="s">
        <v>31</v>
      </c>
      <c r="C11" t="s">
        <v>267</v>
      </c>
      <c r="D11" t="s">
        <v>1243</v>
      </c>
      <c r="E11" t="s">
        <v>268</v>
      </c>
      <c r="F11" t="s">
        <v>1244</v>
      </c>
      <c r="H11" t="s">
        <v>1245</v>
      </c>
      <c r="I11" t="s">
        <v>1246</v>
      </c>
    </row>
    <row r="12" spans="1:58">
      <c r="B12" t="s">
        <v>31</v>
      </c>
      <c r="E12" t="s">
        <v>269</v>
      </c>
      <c r="F12" t="s">
        <v>1247</v>
      </c>
      <c r="J12" t="s">
        <v>106</v>
      </c>
    </row>
    <row r="13" spans="1:58">
      <c r="B13" t="s">
        <v>31</v>
      </c>
      <c r="E13" t="s">
        <v>270</v>
      </c>
      <c r="F13" t="s">
        <v>1248</v>
      </c>
      <c r="J13" t="s">
        <v>271</v>
      </c>
    </row>
    <row r="14" spans="1:58">
      <c r="B14" t="s">
        <v>31</v>
      </c>
      <c r="E14" t="s">
        <v>97</v>
      </c>
      <c r="F14" t="s">
        <v>1249</v>
      </c>
    </row>
    <row r="15" spans="1:58">
      <c r="B15" t="s">
        <v>31</v>
      </c>
      <c r="E15" t="s">
        <v>272</v>
      </c>
      <c r="F15" t="s">
        <v>1250</v>
      </c>
    </row>
    <row r="16" spans="1:58">
      <c r="B16" t="s">
        <v>31</v>
      </c>
      <c r="E16" t="s">
        <v>102</v>
      </c>
      <c r="F16" t="s">
        <v>1251</v>
      </c>
    </row>
    <row r="17" spans="1:45">
      <c r="B17" t="s">
        <v>31</v>
      </c>
      <c r="E17" t="s">
        <v>65</v>
      </c>
      <c r="F17" t="s">
        <v>1971</v>
      </c>
    </row>
    <row r="18" spans="1:45">
      <c r="B18" t="s">
        <v>31</v>
      </c>
    </row>
    <row r="19" spans="1:45">
      <c r="B19" t="s">
        <v>31</v>
      </c>
      <c r="E19" t="s">
        <v>273</v>
      </c>
      <c r="H19" t="s">
        <v>274</v>
      </c>
    </row>
    <row r="20" spans="1:45">
      <c r="B20" t="s">
        <v>31</v>
      </c>
      <c r="E20" t="s">
        <v>275</v>
      </c>
      <c r="H20" t="s">
        <v>1253</v>
      </c>
    </row>
    <row r="21" spans="1:45">
      <c r="B21" t="s">
        <v>31</v>
      </c>
      <c r="E21" t="s">
        <v>276</v>
      </c>
      <c r="H21" t="s">
        <v>1254</v>
      </c>
    </row>
    <row r="22" spans="1:45">
      <c r="B22" t="s">
        <v>31</v>
      </c>
      <c r="E22" t="s">
        <v>65</v>
      </c>
      <c r="F22" t="s">
        <v>1255</v>
      </c>
      <c r="H22" t="s">
        <v>1256</v>
      </c>
    </row>
    <row r="23" spans="1:45">
      <c r="B23" t="s">
        <v>31</v>
      </c>
      <c r="E23" t="s">
        <v>277</v>
      </c>
    </row>
    <row r="24" spans="1:45">
      <c r="A24" t="s">
        <v>235</v>
      </c>
      <c r="B24" t="s">
        <v>31</v>
      </c>
      <c r="E24" t="s">
        <v>278</v>
      </c>
      <c r="G24" t="s">
        <v>279</v>
      </c>
      <c r="AJ24" t="s">
        <v>280</v>
      </c>
      <c r="AP24" t="s">
        <v>281</v>
      </c>
      <c r="AS24" t="s">
        <v>282</v>
      </c>
    </row>
    <row r="25" spans="1:45">
      <c r="B25" t="s">
        <v>62</v>
      </c>
      <c r="O25" t="s">
        <v>283</v>
      </c>
      <c r="P25" t="s">
        <v>1257</v>
      </c>
    </row>
    <row r="26" spans="1:45">
      <c r="O26" t="s">
        <v>284</v>
      </c>
      <c r="P26" t="s">
        <v>1258</v>
      </c>
    </row>
    <row r="27" spans="1:45">
      <c r="B27" t="s">
        <v>62</v>
      </c>
      <c r="O27" t="s">
        <v>285</v>
      </c>
      <c r="P27" t="s">
        <v>1259</v>
      </c>
    </row>
    <row r="29" spans="1:45">
      <c r="B29" t="s">
        <v>1260</v>
      </c>
      <c r="P29" t="s">
        <v>286</v>
      </c>
    </row>
    <row r="30" spans="1:45">
      <c r="B30" t="s">
        <v>1261</v>
      </c>
    </row>
    <row r="31" spans="1:45">
      <c r="B31" t="s">
        <v>62</v>
      </c>
      <c r="AD31" t="s">
        <v>7380</v>
      </c>
      <c r="AF31" t="s">
        <v>7381</v>
      </c>
      <c r="AH31" t="s">
        <v>287</v>
      </c>
      <c r="AJ31" t="s">
        <v>288</v>
      </c>
      <c r="AL31" t="s">
        <v>289</v>
      </c>
      <c r="AN31" t="s">
        <v>290</v>
      </c>
      <c r="AP31" t="s">
        <v>291</v>
      </c>
    </row>
    <row r="32" spans="1:45">
      <c r="B32" t="s">
        <v>62</v>
      </c>
      <c r="P32" t="s">
        <v>292</v>
      </c>
      <c r="T32" t="s">
        <v>287</v>
      </c>
      <c r="V32" t="s">
        <v>287</v>
      </c>
      <c r="X32" t="s">
        <v>287</v>
      </c>
      <c r="Z32" t="s">
        <v>287</v>
      </c>
      <c r="AB32" t="s">
        <v>287</v>
      </c>
      <c r="AD32" t="s">
        <v>293</v>
      </c>
      <c r="AF32" t="s">
        <v>293</v>
      </c>
      <c r="AH32" t="s">
        <v>294</v>
      </c>
      <c r="AJ32" t="s">
        <v>1264</v>
      </c>
      <c r="AL32" t="s">
        <v>288</v>
      </c>
      <c r="AN32" t="s">
        <v>296</v>
      </c>
      <c r="AP32" t="s">
        <v>293</v>
      </c>
    </row>
    <row r="33" spans="1:58">
      <c r="A33" t="s">
        <v>297</v>
      </c>
      <c r="B33" t="s">
        <v>62</v>
      </c>
      <c r="L33" t="s">
        <v>65</v>
      </c>
      <c r="M33" t="s">
        <v>298</v>
      </c>
      <c r="N33" t="s">
        <v>255</v>
      </c>
      <c r="O33" t="s">
        <v>253</v>
      </c>
      <c r="P33" t="s">
        <v>299</v>
      </c>
      <c r="R33" t="s">
        <v>300</v>
      </c>
      <c r="T33" t="s">
        <v>301</v>
      </c>
      <c r="V33" t="s">
        <v>1265</v>
      </c>
      <c r="X33" t="s">
        <v>1266</v>
      </c>
      <c r="Z33" t="s">
        <v>1267</v>
      </c>
      <c r="AB33" t="s">
        <v>1268</v>
      </c>
      <c r="AD33" t="s">
        <v>1269</v>
      </c>
      <c r="AF33" t="s">
        <v>1270</v>
      </c>
      <c r="AH33" t="s">
        <v>1271</v>
      </c>
      <c r="AJ33" t="s">
        <v>1272</v>
      </c>
      <c r="AL33" t="s">
        <v>1273</v>
      </c>
      <c r="AN33" t="s">
        <v>1274</v>
      </c>
      <c r="AP33" t="s">
        <v>1274</v>
      </c>
      <c r="AS33" t="s">
        <v>305</v>
      </c>
    </row>
    <row r="34" spans="1:58">
      <c r="B34" t="s">
        <v>62</v>
      </c>
    </row>
    <row r="35" spans="1:58">
      <c r="B35" t="s">
        <v>62</v>
      </c>
      <c r="O35" t="s">
        <v>306</v>
      </c>
      <c r="P35" t="s">
        <v>307</v>
      </c>
    </row>
    <row r="36" spans="1:58">
      <c r="B36" t="s">
        <v>62</v>
      </c>
      <c r="R36" t="s">
        <v>7382</v>
      </c>
    </row>
    <row r="37" spans="1:58">
      <c r="B37" t="s">
        <v>62</v>
      </c>
    </row>
    <row r="38" spans="1:58">
      <c r="A38" t="s">
        <v>236</v>
      </c>
      <c r="B38" t="s">
        <v>62</v>
      </c>
      <c r="E38" t="s">
        <v>1276</v>
      </c>
      <c r="K38" t="s">
        <v>1277</v>
      </c>
      <c r="L38" t="s">
        <v>1278</v>
      </c>
      <c r="M38" t="s">
        <v>1279</v>
      </c>
      <c r="N38" t="s">
        <v>1280</v>
      </c>
      <c r="O38" t="s">
        <v>1281</v>
      </c>
      <c r="P38" t="s">
        <v>1281</v>
      </c>
      <c r="R38" t="s">
        <v>1282</v>
      </c>
      <c r="T38" t="s">
        <v>1283</v>
      </c>
      <c r="V38" t="s">
        <v>1284</v>
      </c>
      <c r="X38" t="s">
        <v>1285</v>
      </c>
      <c r="Z38" t="s">
        <v>1286</v>
      </c>
      <c r="AB38" t="s">
        <v>1287</v>
      </c>
      <c r="AD38" t="s">
        <v>1288</v>
      </c>
      <c r="AF38" t="s">
        <v>1289</v>
      </c>
      <c r="AH38" t="s">
        <v>7383</v>
      </c>
      <c r="AJ38" t="s">
        <v>1291</v>
      </c>
      <c r="AL38" t="s">
        <v>1292</v>
      </c>
      <c r="AN38" t="s">
        <v>1293</v>
      </c>
      <c r="AP38" t="s">
        <v>1294</v>
      </c>
      <c r="AQ38" t="s">
        <v>1295</v>
      </c>
    </row>
    <row r="39" spans="1:58">
      <c r="A39" t="s">
        <v>236</v>
      </c>
      <c r="B39" t="s">
        <v>1296</v>
      </c>
      <c r="K39" t="s">
        <v>1297</v>
      </c>
      <c r="L39" t="s">
        <v>1278</v>
      </c>
      <c r="M39" t="s">
        <v>1279</v>
      </c>
      <c r="N39" t="s">
        <v>1280</v>
      </c>
      <c r="O39" t="s">
        <v>1298</v>
      </c>
      <c r="P39" t="s">
        <v>1299</v>
      </c>
      <c r="R39" t="s">
        <v>1300</v>
      </c>
      <c r="T39" t="s">
        <v>1301</v>
      </c>
      <c r="V39" t="s">
        <v>1302</v>
      </c>
      <c r="X39" t="s">
        <v>1303</v>
      </c>
      <c r="Z39" t="s">
        <v>1304</v>
      </c>
      <c r="AB39" t="s">
        <v>1305</v>
      </c>
      <c r="AD39" t="s">
        <v>1306</v>
      </c>
      <c r="AF39" t="s">
        <v>1307</v>
      </c>
      <c r="AH39" t="s">
        <v>1308</v>
      </c>
      <c r="AJ39" t="s">
        <v>1309</v>
      </c>
      <c r="AL39" t="s">
        <v>1310</v>
      </c>
      <c r="AN39" t="s">
        <v>1311</v>
      </c>
      <c r="AP39" t="s">
        <v>1312</v>
      </c>
      <c r="AQ39" t="s">
        <v>1313</v>
      </c>
    </row>
    <row r="40" spans="1:58">
      <c r="A40" t="s">
        <v>311</v>
      </c>
      <c r="B40" t="s">
        <v>3062</v>
      </c>
      <c r="K40" t="s">
        <v>3134</v>
      </c>
      <c r="L40" t="s">
        <v>1278</v>
      </c>
      <c r="M40" t="s">
        <v>1279</v>
      </c>
      <c r="N40" t="s">
        <v>1280</v>
      </c>
      <c r="O40" t="s">
        <v>3064</v>
      </c>
      <c r="P40" t="s">
        <v>3065</v>
      </c>
      <c r="R40" t="s">
        <v>3066</v>
      </c>
      <c r="T40" t="s">
        <v>3067</v>
      </c>
      <c r="V40" t="s">
        <v>3068</v>
      </c>
      <c r="X40" t="s">
        <v>3069</v>
      </c>
      <c r="Z40" t="s">
        <v>3070</v>
      </c>
      <c r="AB40" t="s">
        <v>3071</v>
      </c>
      <c r="AD40" t="s">
        <v>3072</v>
      </c>
      <c r="AF40" t="s">
        <v>3073</v>
      </c>
      <c r="AH40" t="s">
        <v>3074</v>
      </c>
      <c r="AJ40" t="s">
        <v>3075</v>
      </c>
      <c r="AL40" t="s">
        <v>3076</v>
      </c>
      <c r="AN40" t="s">
        <v>3077</v>
      </c>
      <c r="AP40" t="s">
        <v>3078</v>
      </c>
      <c r="AQ40" t="s">
        <v>3079</v>
      </c>
    </row>
    <row r="41" spans="1:58">
      <c r="A41" t="s">
        <v>311</v>
      </c>
      <c r="B41" t="s">
        <v>3080</v>
      </c>
      <c r="K41" t="s">
        <v>3163</v>
      </c>
      <c r="L41" t="s">
        <v>1278</v>
      </c>
      <c r="M41" t="s">
        <v>1279</v>
      </c>
      <c r="N41" t="s">
        <v>1280</v>
      </c>
      <c r="O41" t="s">
        <v>3082</v>
      </c>
      <c r="P41" t="s">
        <v>3083</v>
      </c>
      <c r="R41" t="s">
        <v>3084</v>
      </c>
      <c r="T41" t="s">
        <v>3085</v>
      </c>
      <c r="V41" t="s">
        <v>3086</v>
      </c>
      <c r="X41" t="s">
        <v>3087</v>
      </c>
      <c r="Z41" t="s">
        <v>3088</v>
      </c>
      <c r="AB41" t="s">
        <v>3089</v>
      </c>
      <c r="AD41" t="s">
        <v>3090</v>
      </c>
      <c r="AF41" t="s">
        <v>3091</v>
      </c>
      <c r="AH41" t="s">
        <v>3092</v>
      </c>
      <c r="AJ41" t="s">
        <v>3093</v>
      </c>
      <c r="AL41" t="s">
        <v>3094</v>
      </c>
      <c r="AN41" t="s">
        <v>3095</v>
      </c>
      <c r="AP41" t="s">
        <v>3096</v>
      </c>
      <c r="AQ41" t="s">
        <v>3097</v>
      </c>
    </row>
    <row r="42" spans="1:58">
      <c r="B42" t="s">
        <v>62</v>
      </c>
    </row>
    <row r="43" spans="1:58">
      <c r="B43" t="s">
        <v>31</v>
      </c>
      <c r="E43" t="s">
        <v>1314</v>
      </c>
    </row>
    <row r="44" spans="1:58">
      <c r="B44" t="s">
        <v>31</v>
      </c>
      <c r="I44" t="s">
        <v>7384</v>
      </c>
    </row>
    <row r="45" spans="1:58">
      <c r="B45" t="s">
        <v>7385</v>
      </c>
      <c r="I45" t="s">
        <v>7386</v>
      </c>
      <c r="R45" t="s">
        <v>7387</v>
      </c>
      <c r="AU45" t="s">
        <v>301</v>
      </c>
      <c r="AV45" t="s">
        <v>1319</v>
      </c>
      <c r="AW45" t="s">
        <v>1320</v>
      </c>
      <c r="AX45" t="s">
        <v>1321</v>
      </c>
      <c r="AY45" t="s">
        <v>1322</v>
      </c>
      <c r="AZ45" t="s">
        <v>327</v>
      </c>
      <c r="BA45" t="s">
        <v>328</v>
      </c>
      <c r="BB45" t="s">
        <v>329</v>
      </c>
      <c r="BC45" t="s">
        <v>330</v>
      </c>
      <c r="BD45" t="s">
        <v>289</v>
      </c>
      <c r="BE45" t="s">
        <v>331</v>
      </c>
      <c r="BF45" t="s">
        <v>332</v>
      </c>
    </row>
    <row r="46" spans="1:58">
      <c r="A46" t="s">
        <v>236</v>
      </c>
      <c r="B46" t="s">
        <v>1343</v>
      </c>
      <c r="I46" t="s">
        <v>1344</v>
      </c>
      <c r="K46" t="s">
        <v>7388</v>
      </c>
      <c r="L46" t="s">
        <v>1278</v>
      </c>
      <c r="M46" t="s">
        <v>1279</v>
      </c>
      <c r="N46" t="s">
        <v>1280</v>
      </c>
      <c r="O46" t="s">
        <v>7389</v>
      </c>
      <c r="P46" t="s">
        <v>3165</v>
      </c>
      <c r="R46" t="s">
        <v>3166</v>
      </c>
      <c r="T46" t="s">
        <v>7390</v>
      </c>
      <c r="V46" t="s">
        <v>7391</v>
      </c>
      <c r="X46" t="s">
        <v>7392</v>
      </c>
      <c r="Z46" t="s">
        <v>7393</v>
      </c>
      <c r="AB46" t="s">
        <v>7394</v>
      </c>
      <c r="AD46" t="s">
        <v>7395</v>
      </c>
      <c r="AF46" t="s">
        <v>7396</v>
      </c>
      <c r="AH46" t="s">
        <v>7397</v>
      </c>
      <c r="AJ46" t="s">
        <v>3175</v>
      </c>
      <c r="AL46" t="s">
        <v>3176</v>
      </c>
      <c r="AN46" t="s">
        <v>7398</v>
      </c>
      <c r="AP46" t="s">
        <v>3178</v>
      </c>
      <c r="AQ46" t="s">
        <v>1357</v>
      </c>
    </row>
    <row r="47" spans="1:58">
      <c r="B47" t="s">
        <v>7385</v>
      </c>
      <c r="I47" t="s">
        <v>1358</v>
      </c>
    </row>
    <row r="48" spans="1:58">
      <c r="B48" t="s">
        <v>3197</v>
      </c>
      <c r="I48" t="s">
        <v>6465</v>
      </c>
      <c r="R48" t="s">
        <v>150</v>
      </c>
      <c r="T48" t="s">
        <v>7399</v>
      </c>
      <c r="V48" t="s">
        <v>7400</v>
      </c>
      <c r="X48" t="s">
        <v>7401</v>
      </c>
      <c r="Z48" t="s">
        <v>7402</v>
      </c>
      <c r="AB48" t="s">
        <v>7403</v>
      </c>
      <c r="AD48" t="s">
        <v>7404</v>
      </c>
      <c r="AF48" t="s">
        <v>7405</v>
      </c>
      <c r="AH48" t="s">
        <v>7406</v>
      </c>
      <c r="AJ48" t="s">
        <v>7407</v>
      </c>
      <c r="AL48" t="s">
        <v>7408</v>
      </c>
      <c r="AN48" t="s">
        <v>7409</v>
      </c>
      <c r="AP48" t="s">
        <v>7410</v>
      </c>
      <c r="AQ48" t="s">
        <v>3214</v>
      </c>
      <c r="AU48" t="s">
        <v>7399</v>
      </c>
      <c r="AV48" t="s">
        <v>7400</v>
      </c>
      <c r="AW48" t="s">
        <v>7401</v>
      </c>
      <c r="AX48" t="s">
        <v>7402</v>
      </c>
      <c r="AY48" t="s">
        <v>7403</v>
      </c>
      <c r="AZ48" t="s">
        <v>7404</v>
      </c>
      <c r="BA48" t="s">
        <v>7405</v>
      </c>
      <c r="BB48" t="s">
        <v>7406</v>
      </c>
      <c r="BC48" t="s">
        <v>7407</v>
      </c>
      <c r="BD48" t="s">
        <v>7408</v>
      </c>
      <c r="BE48" t="s">
        <v>7409</v>
      </c>
      <c r="BF48" t="s">
        <v>7410</v>
      </c>
    </row>
    <row r="49" spans="1:43">
      <c r="B49" t="s">
        <v>7385</v>
      </c>
      <c r="I49" t="s">
        <v>5892</v>
      </c>
    </row>
    <row r="50" spans="1:43">
      <c r="B50" t="s">
        <v>62</v>
      </c>
    </row>
    <row r="51" spans="1:43">
      <c r="B51" t="s">
        <v>62</v>
      </c>
      <c r="R51" t="s">
        <v>1359</v>
      </c>
      <c r="T51" t="s">
        <v>7411</v>
      </c>
      <c r="V51" t="s">
        <v>7412</v>
      </c>
      <c r="X51" t="s">
        <v>7413</v>
      </c>
      <c r="Z51" t="s">
        <v>7414</v>
      </c>
      <c r="AB51" t="s">
        <v>7415</v>
      </c>
      <c r="AD51" t="s">
        <v>7416</v>
      </c>
      <c r="AF51" t="s">
        <v>7417</v>
      </c>
      <c r="AH51" t="s">
        <v>7418</v>
      </c>
      <c r="AJ51" t="s">
        <v>7419</v>
      </c>
      <c r="AL51" t="s">
        <v>7420</v>
      </c>
      <c r="AN51" t="s">
        <v>7421</v>
      </c>
      <c r="AP51" t="s">
        <v>7422</v>
      </c>
      <c r="AQ51" t="s">
        <v>3267</v>
      </c>
    </row>
    <row r="52" spans="1:43">
      <c r="B52" t="s">
        <v>62</v>
      </c>
    </row>
    <row r="53" spans="1:43">
      <c r="B53" t="s">
        <v>6501</v>
      </c>
      <c r="E53" t="s">
        <v>1374</v>
      </c>
      <c r="R53" t="s">
        <v>335</v>
      </c>
    </row>
    <row r="54" spans="1:43">
      <c r="B54" t="s">
        <v>31</v>
      </c>
    </row>
    <row r="55" spans="1:43">
      <c r="A55" t="s">
        <v>236</v>
      </c>
      <c r="B55" t="s">
        <v>1373</v>
      </c>
      <c r="K55" t="s">
        <v>7423</v>
      </c>
      <c r="L55" t="s">
        <v>1278</v>
      </c>
      <c r="M55" t="s">
        <v>1279</v>
      </c>
      <c r="N55" t="s">
        <v>1280</v>
      </c>
      <c r="O55" t="s">
        <v>7424</v>
      </c>
      <c r="P55" t="s">
        <v>7425</v>
      </c>
      <c r="R55" t="s">
        <v>7426</v>
      </c>
      <c r="T55" t="s">
        <v>7427</v>
      </c>
      <c r="V55" t="s">
        <v>7428</v>
      </c>
      <c r="X55" t="s">
        <v>7429</v>
      </c>
      <c r="Z55" t="s">
        <v>7430</v>
      </c>
      <c r="AB55" t="s">
        <v>7431</v>
      </c>
      <c r="AD55" t="s">
        <v>7432</v>
      </c>
      <c r="AF55" t="s">
        <v>7433</v>
      </c>
      <c r="AH55" t="s">
        <v>7434</v>
      </c>
      <c r="AJ55" t="s">
        <v>830</v>
      </c>
      <c r="AL55" t="s">
        <v>7435</v>
      </c>
      <c r="AN55" t="s">
        <v>7436</v>
      </c>
      <c r="AP55" t="s">
        <v>7437</v>
      </c>
      <c r="AQ55" t="s">
        <v>1405</v>
      </c>
    </row>
    <row r="56" spans="1:43">
      <c r="B56" t="s">
        <v>31</v>
      </c>
    </row>
    <row r="57" spans="1:43">
      <c r="B57" t="s">
        <v>6501</v>
      </c>
      <c r="R57" t="s">
        <v>1392</v>
      </c>
      <c r="T57" t="s">
        <v>7438</v>
      </c>
      <c r="V57" t="s">
        <v>7439</v>
      </c>
      <c r="X57" t="s">
        <v>7440</v>
      </c>
      <c r="Z57" t="s">
        <v>7441</v>
      </c>
      <c r="AB57" t="s">
        <v>7442</v>
      </c>
      <c r="AD57" t="s">
        <v>7443</v>
      </c>
      <c r="AF57" t="s">
        <v>7444</v>
      </c>
      <c r="AH57" t="s">
        <v>7445</v>
      </c>
      <c r="AJ57" t="s">
        <v>7446</v>
      </c>
      <c r="AL57" t="s">
        <v>7447</v>
      </c>
      <c r="AN57" t="s">
        <v>7448</v>
      </c>
      <c r="AP57" t="s">
        <v>7449</v>
      </c>
      <c r="AQ57" t="s">
        <v>1421</v>
      </c>
    </row>
    <row r="58" spans="1:43">
      <c r="B58" t="s">
        <v>1422</v>
      </c>
    </row>
    <row r="59" spans="1:43">
      <c r="B59" t="s">
        <v>7047</v>
      </c>
      <c r="R59" t="s">
        <v>1408</v>
      </c>
      <c r="T59" t="s">
        <v>7450</v>
      </c>
      <c r="V59" t="s">
        <v>7451</v>
      </c>
      <c r="X59" t="s">
        <v>7452</v>
      </c>
      <c r="Z59" t="s">
        <v>7453</v>
      </c>
      <c r="AB59" t="s">
        <v>7454</v>
      </c>
      <c r="AD59" t="s">
        <v>7455</v>
      </c>
      <c r="AF59" t="s">
        <v>7456</v>
      </c>
      <c r="AH59" t="s">
        <v>7457</v>
      </c>
      <c r="AJ59" t="s">
        <v>7458</v>
      </c>
      <c r="AL59" t="s">
        <v>7459</v>
      </c>
      <c r="AN59" t="s">
        <v>7460</v>
      </c>
      <c r="AP59" t="s">
        <v>7461</v>
      </c>
      <c r="AQ59" t="s">
        <v>3338</v>
      </c>
    </row>
    <row r="60" spans="1:43">
      <c r="B60" t="s">
        <v>6529</v>
      </c>
    </row>
    <row r="61" spans="1:43">
      <c r="B61" t="s">
        <v>62</v>
      </c>
      <c r="R61" t="s">
        <v>1423</v>
      </c>
    </row>
    <row r="62" spans="1:43">
      <c r="B62" t="s">
        <v>62</v>
      </c>
    </row>
    <row r="63" spans="1:43">
      <c r="B63" t="s">
        <v>7462</v>
      </c>
      <c r="R63" t="s">
        <v>1425</v>
      </c>
    </row>
    <row r="64" spans="1:43">
      <c r="B64" t="s">
        <v>31</v>
      </c>
      <c r="E64" t="s">
        <v>1426</v>
      </c>
      <c r="H64" t="s">
        <v>336</v>
      </c>
    </row>
    <row r="65" spans="1:58">
      <c r="A65" t="s">
        <v>236</v>
      </c>
      <c r="B65" t="s">
        <v>1444</v>
      </c>
      <c r="K65" t="s">
        <v>7463</v>
      </c>
      <c r="L65" t="s">
        <v>1278</v>
      </c>
      <c r="M65" t="s">
        <v>1279</v>
      </c>
      <c r="N65" t="s">
        <v>1280</v>
      </c>
      <c r="O65" t="s">
        <v>7464</v>
      </c>
      <c r="P65" t="s">
        <v>7465</v>
      </c>
      <c r="R65" t="s">
        <v>7466</v>
      </c>
      <c r="T65" t="s">
        <v>7467</v>
      </c>
      <c r="V65" t="s">
        <v>7468</v>
      </c>
      <c r="X65" t="s">
        <v>7469</v>
      </c>
      <c r="Z65" t="s">
        <v>7470</v>
      </c>
      <c r="AB65" t="s">
        <v>7471</v>
      </c>
      <c r="AD65" t="s">
        <v>7472</v>
      </c>
      <c r="AF65" t="s">
        <v>7473</v>
      </c>
      <c r="AH65" t="s">
        <v>7474</v>
      </c>
      <c r="AJ65" t="s">
        <v>830</v>
      </c>
      <c r="AL65" t="s">
        <v>7475</v>
      </c>
      <c r="AN65" t="s">
        <v>7476</v>
      </c>
      <c r="AP65" t="s">
        <v>7477</v>
      </c>
      <c r="AQ65" t="s">
        <v>1458</v>
      </c>
    </row>
    <row r="66" spans="1:58">
      <c r="B66" t="s">
        <v>7462</v>
      </c>
    </row>
    <row r="67" spans="1:58">
      <c r="B67" t="s">
        <v>6543</v>
      </c>
      <c r="R67" t="s">
        <v>7478</v>
      </c>
      <c r="T67" t="s">
        <v>7479</v>
      </c>
      <c r="V67" t="s">
        <v>7480</v>
      </c>
      <c r="X67" t="s">
        <v>7481</v>
      </c>
      <c r="Z67" t="s">
        <v>7482</v>
      </c>
      <c r="AB67" t="s">
        <v>7483</v>
      </c>
      <c r="AD67" t="s">
        <v>7484</v>
      </c>
      <c r="AF67" t="s">
        <v>7485</v>
      </c>
      <c r="AH67" t="s">
        <v>7486</v>
      </c>
      <c r="AJ67" t="s">
        <v>7487</v>
      </c>
      <c r="AL67" t="s">
        <v>7488</v>
      </c>
      <c r="AN67" t="s">
        <v>7489</v>
      </c>
      <c r="AP67" t="s">
        <v>7490</v>
      </c>
      <c r="AQ67" t="s">
        <v>6559</v>
      </c>
    </row>
    <row r="68" spans="1:58">
      <c r="B68" t="s">
        <v>7462</v>
      </c>
    </row>
    <row r="69" spans="1:58">
      <c r="B69" t="s">
        <v>31</v>
      </c>
      <c r="E69" t="s">
        <v>1426</v>
      </c>
      <c r="H69" t="s">
        <v>364</v>
      </c>
      <c r="AH69" t="s">
        <v>7491</v>
      </c>
    </row>
    <row r="70" spans="1:58">
      <c r="B70" t="s">
        <v>31</v>
      </c>
    </row>
    <row r="71" spans="1:58">
      <c r="B71" t="s">
        <v>31</v>
      </c>
      <c r="H71" t="s">
        <v>365</v>
      </c>
      <c r="I71" t="s">
        <v>7492</v>
      </c>
    </row>
    <row r="72" spans="1:58">
      <c r="B72" t="s">
        <v>6579</v>
      </c>
      <c r="I72" t="s">
        <v>1481</v>
      </c>
      <c r="R72" t="s">
        <v>7493</v>
      </c>
      <c r="AU72" t="s">
        <v>301</v>
      </c>
      <c r="AV72" t="s">
        <v>1319</v>
      </c>
      <c r="AW72" t="s">
        <v>1320</v>
      </c>
      <c r="AX72" t="s">
        <v>1321</v>
      </c>
      <c r="AY72" t="s">
        <v>1322</v>
      </c>
      <c r="AZ72" t="s">
        <v>327</v>
      </c>
      <c r="BA72" t="s">
        <v>328</v>
      </c>
      <c r="BB72" t="s">
        <v>329</v>
      </c>
      <c r="BC72" t="s">
        <v>330</v>
      </c>
      <c r="BD72" t="s">
        <v>289</v>
      </c>
      <c r="BE72" t="s">
        <v>331</v>
      </c>
      <c r="BF72" t="s">
        <v>332</v>
      </c>
    </row>
    <row r="73" spans="1:58">
      <c r="A73" t="s">
        <v>236</v>
      </c>
      <c r="B73" t="s">
        <v>1461</v>
      </c>
      <c r="I73" t="s">
        <v>1482</v>
      </c>
      <c r="K73" t="s">
        <v>7494</v>
      </c>
      <c r="L73" t="s">
        <v>1278</v>
      </c>
      <c r="M73" t="s">
        <v>1279</v>
      </c>
      <c r="N73" t="s">
        <v>1280</v>
      </c>
      <c r="O73" t="s">
        <v>7495</v>
      </c>
      <c r="P73" t="s">
        <v>7496</v>
      </c>
      <c r="R73" t="s">
        <v>7497</v>
      </c>
      <c r="T73" t="s">
        <v>7498</v>
      </c>
      <c r="V73" t="s">
        <v>7499</v>
      </c>
      <c r="X73" t="s">
        <v>7500</v>
      </c>
      <c r="Z73" t="s">
        <v>7501</v>
      </c>
      <c r="AB73" t="s">
        <v>7502</v>
      </c>
      <c r="AD73" t="s">
        <v>7503</v>
      </c>
      <c r="AF73" t="s">
        <v>7504</v>
      </c>
      <c r="AH73" t="s">
        <v>7505</v>
      </c>
      <c r="AJ73" t="s">
        <v>830</v>
      </c>
      <c r="AL73" t="s">
        <v>7506</v>
      </c>
      <c r="AN73" t="s">
        <v>7507</v>
      </c>
      <c r="AP73" t="s">
        <v>7508</v>
      </c>
      <c r="AQ73" t="s">
        <v>1496</v>
      </c>
    </row>
    <row r="74" spans="1:58">
      <c r="B74" t="s">
        <v>31</v>
      </c>
      <c r="I74" t="s">
        <v>1510</v>
      </c>
    </row>
    <row r="75" spans="1:58">
      <c r="B75" t="s">
        <v>6579</v>
      </c>
      <c r="I75" t="s">
        <v>6003</v>
      </c>
      <c r="R75" t="s">
        <v>7509</v>
      </c>
      <c r="T75" t="s">
        <v>7510</v>
      </c>
      <c r="V75" t="s">
        <v>7511</v>
      </c>
      <c r="X75" t="s">
        <v>7512</v>
      </c>
      <c r="Z75" t="s">
        <v>7513</v>
      </c>
      <c r="AB75" t="s">
        <v>7514</v>
      </c>
      <c r="AD75" t="s">
        <v>7515</v>
      </c>
      <c r="AF75" t="s">
        <v>7516</v>
      </c>
      <c r="AH75" t="s">
        <v>7517</v>
      </c>
      <c r="AJ75" t="s">
        <v>7518</v>
      </c>
      <c r="AL75" t="s">
        <v>7519</v>
      </c>
      <c r="AN75" t="s">
        <v>7520</v>
      </c>
      <c r="AP75" t="s">
        <v>7521</v>
      </c>
      <c r="AQ75" t="s">
        <v>6595</v>
      </c>
      <c r="AU75" t="s">
        <v>7522</v>
      </c>
      <c r="AV75" t="s">
        <v>7523</v>
      </c>
      <c r="AW75" t="s">
        <v>7524</v>
      </c>
      <c r="AX75" t="s">
        <v>7525</v>
      </c>
      <c r="AY75" t="s">
        <v>7526</v>
      </c>
      <c r="AZ75" t="s">
        <v>7527</v>
      </c>
      <c r="BA75" t="s">
        <v>7528</v>
      </c>
      <c r="BB75" t="s">
        <v>7529</v>
      </c>
      <c r="BC75" t="s">
        <v>7530</v>
      </c>
      <c r="BD75" t="s">
        <v>7531</v>
      </c>
      <c r="BE75" t="s">
        <v>7532</v>
      </c>
      <c r="BF75" t="s">
        <v>7533</v>
      </c>
    </row>
    <row r="76" spans="1:58">
      <c r="B76" t="s">
        <v>7534</v>
      </c>
      <c r="I76" t="s">
        <v>6006</v>
      </c>
    </row>
    <row r="77" spans="1:58">
      <c r="A77" t="s">
        <v>76</v>
      </c>
      <c r="B77" t="s">
        <v>31</v>
      </c>
      <c r="H77" t="s">
        <v>365</v>
      </c>
      <c r="I77" t="s">
        <v>7535</v>
      </c>
    </row>
    <row r="78" spans="1:58">
      <c r="A78" t="s">
        <v>76</v>
      </c>
      <c r="B78" t="s">
        <v>1524</v>
      </c>
      <c r="I78" t="s">
        <v>6024</v>
      </c>
      <c r="R78" t="s">
        <v>7536</v>
      </c>
      <c r="AU78" t="s">
        <v>301</v>
      </c>
      <c r="AV78" t="s">
        <v>1319</v>
      </c>
      <c r="AW78" t="s">
        <v>1320</v>
      </c>
      <c r="AX78" t="s">
        <v>1321</v>
      </c>
      <c r="AY78" t="s">
        <v>1322</v>
      </c>
      <c r="AZ78" t="s">
        <v>327</v>
      </c>
      <c r="BA78" t="s">
        <v>328</v>
      </c>
      <c r="BB78" t="s">
        <v>329</v>
      </c>
      <c r="BC78" t="s">
        <v>330</v>
      </c>
      <c r="BD78" t="s">
        <v>289</v>
      </c>
      <c r="BE78" t="s">
        <v>331</v>
      </c>
      <c r="BF78" t="s">
        <v>332</v>
      </c>
    </row>
    <row r="79" spans="1:58">
      <c r="A79" t="s">
        <v>311</v>
      </c>
      <c r="B79" t="s">
        <v>1525</v>
      </c>
      <c r="I79" t="s">
        <v>6051</v>
      </c>
      <c r="K79" t="s">
        <v>7537</v>
      </c>
      <c r="L79" t="s">
        <v>1278</v>
      </c>
      <c r="M79" t="s">
        <v>1279</v>
      </c>
      <c r="N79" t="s">
        <v>1280</v>
      </c>
      <c r="O79" t="s">
        <v>7538</v>
      </c>
      <c r="P79" t="s">
        <v>1528</v>
      </c>
      <c r="R79" t="s">
        <v>1529</v>
      </c>
      <c r="T79" t="s">
        <v>7539</v>
      </c>
      <c r="V79" t="s">
        <v>7540</v>
      </c>
      <c r="X79" t="s">
        <v>7541</v>
      </c>
      <c r="Z79" t="s">
        <v>7542</v>
      </c>
      <c r="AB79" t="s">
        <v>7543</v>
      </c>
      <c r="AD79" t="s">
        <v>7544</v>
      </c>
      <c r="AF79" t="s">
        <v>7545</v>
      </c>
      <c r="AH79" t="s">
        <v>7546</v>
      </c>
      <c r="AJ79" t="s">
        <v>830</v>
      </c>
      <c r="AL79" t="s">
        <v>1538</v>
      </c>
      <c r="AN79" t="s">
        <v>7547</v>
      </c>
      <c r="AP79" t="s">
        <v>1540</v>
      </c>
      <c r="AQ79" t="s">
        <v>1541</v>
      </c>
    </row>
    <row r="80" spans="1:58">
      <c r="A80" t="s">
        <v>76</v>
      </c>
      <c r="B80" t="s">
        <v>31</v>
      </c>
      <c r="I80" t="s">
        <v>7548</v>
      </c>
    </row>
    <row r="81" spans="1:58">
      <c r="A81" t="s">
        <v>76</v>
      </c>
      <c r="B81" t="s">
        <v>1524</v>
      </c>
      <c r="I81" t="s">
        <v>7549</v>
      </c>
      <c r="R81" t="s">
        <v>7550</v>
      </c>
      <c r="T81" t="s">
        <v>1542</v>
      </c>
      <c r="V81" t="s">
        <v>1543</v>
      </c>
      <c r="X81" t="s">
        <v>1544</v>
      </c>
      <c r="Z81" t="s">
        <v>1545</v>
      </c>
      <c r="AB81" t="s">
        <v>1546</v>
      </c>
      <c r="AD81" t="s">
        <v>1547</v>
      </c>
      <c r="AF81" t="s">
        <v>1548</v>
      </c>
      <c r="AH81" t="s">
        <v>1549</v>
      </c>
      <c r="AJ81" t="s">
        <v>1550</v>
      </c>
      <c r="AL81" t="s">
        <v>1551</v>
      </c>
      <c r="AN81" t="s">
        <v>1552</v>
      </c>
      <c r="AP81" t="s">
        <v>1553</v>
      </c>
      <c r="AQ81" t="s">
        <v>1554</v>
      </c>
      <c r="AU81" t="s">
        <v>7551</v>
      </c>
      <c r="AV81" t="s">
        <v>7552</v>
      </c>
      <c r="AW81" t="s">
        <v>7553</v>
      </c>
      <c r="AX81" t="s">
        <v>7554</v>
      </c>
      <c r="AY81" t="s">
        <v>7555</v>
      </c>
      <c r="AZ81" t="s">
        <v>7556</v>
      </c>
      <c r="BA81" t="s">
        <v>7557</v>
      </c>
      <c r="BB81" t="s">
        <v>7558</v>
      </c>
      <c r="BC81" t="s">
        <v>7559</v>
      </c>
      <c r="BD81" t="s">
        <v>7560</v>
      </c>
      <c r="BE81" t="s">
        <v>7561</v>
      </c>
      <c r="BF81" t="s">
        <v>7562</v>
      </c>
    </row>
    <row r="82" spans="1:58">
      <c r="A82" t="s">
        <v>76</v>
      </c>
      <c r="B82" t="s">
        <v>1555</v>
      </c>
      <c r="I82" t="s">
        <v>7563</v>
      </c>
    </row>
    <row r="83" spans="1:58">
      <c r="B83" t="s">
        <v>31</v>
      </c>
    </row>
    <row r="84" spans="1:58">
      <c r="B84" t="s">
        <v>31</v>
      </c>
      <c r="R84" t="s">
        <v>437</v>
      </c>
      <c r="T84" t="s">
        <v>7564</v>
      </c>
      <c r="V84" t="s">
        <v>7565</v>
      </c>
      <c r="X84" t="s">
        <v>7566</v>
      </c>
      <c r="Z84" t="s">
        <v>7567</v>
      </c>
      <c r="AB84" t="s">
        <v>7568</v>
      </c>
      <c r="AD84" t="s">
        <v>7569</v>
      </c>
      <c r="AF84" t="s">
        <v>7570</v>
      </c>
      <c r="AH84" t="s">
        <v>7571</v>
      </c>
      <c r="AJ84" t="s">
        <v>7572</v>
      </c>
      <c r="AL84" t="s">
        <v>7573</v>
      </c>
      <c r="AN84" t="s">
        <v>7574</v>
      </c>
      <c r="AP84" t="s">
        <v>7575</v>
      </c>
    </row>
    <row r="85" spans="1:58">
      <c r="B85" t="s">
        <v>31</v>
      </c>
      <c r="E85" t="s">
        <v>438</v>
      </c>
      <c r="AH85" t="s">
        <v>7576</v>
      </c>
    </row>
    <row r="86" spans="1:58">
      <c r="B86" t="s">
        <v>3588</v>
      </c>
      <c r="R86" t="s">
        <v>439</v>
      </c>
    </row>
    <row r="87" spans="1:58">
      <c r="A87" t="s">
        <v>236</v>
      </c>
      <c r="B87" t="s">
        <v>3556</v>
      </c>
      <c r="K87" t="s">
        <v>7577</v>
      </c>
      <c r="L87" t="s">
        <v>1278</v>
      </c>
      <c r="M87" t="s">
        <v>1279</v>
      </c>
      <c r="N87" t="s">
        <v>1280</v>
      </c>
      <c r="O87" t="s">
        <v>7578</v>
      </c>
      <c r="P87" t="s">
        <v>3559</v>
      </c>
      <c r="R87" t="s">
        <v>7579</v>
      </c>
      <c r="T87" t="s">
        <v>7580</v>
      </c>
      <c r="V87" t="s">
        <v>7581</v>
      </c>
      <c r="X87" t="s">
        <v>7582</v>
      </c>
      <c r="Z87" t="s">
        <v>7583</v>
      </c>
      <c r="AB87" t="s">
        <v>7584</v>
      </c>
      <c r="AD87" t="s">
        <v>7585</v>
      </c>
      <c r="AF87" t="s">
        <v>7586</v>
      </c>
      <c r="AH87" t="s">
        <v>7587</v>
      </c>
      <c r="AJ87" t="s">
        <v>830</v>
      </c>
      <c r="AL87" t="s">
        <v>3569</v>
      </c>
      <c r="AN87" t="s">
        <v>7588</v>
      </c>
      <c r="AP87" t="s">
        <v>3571</v>
      </c>
      <c r="AQ87" t="s">
        <v>3572</v>
      </c>
    </row>
    <row r="88" spans="1:58">
      <c r="B88" t="s">
        <v>31</v>
      </c>
    </row>
    <row r="89" spans="1:58">
      <c r="B89" t="s">
        <v>3588</v>
      </c>
      <c r="R89" t="s">
        <v>440</v>
      </c>
      <c r="T89" t="s">
        <v>7589</v>
      </c>
      <c r="V89" t="s">
        <v>7590</v>
      </c>
      <c r="X89" t="s">
        <v>7591</v>
      </c>
      <c r="Z89" t="s">
        <v>7592</v>
      </c>
      <c r="AB89" t="s">
        <v>7593</v>
      </c>
      <c r="AD89" t="s">
        <v>7594</v>
      </c>
      <c r="AF89" t="s">
        <v>7595</v>
      </c>
      <c r="AH89" t="s">
        <v>7596</v>
      </c>
      <c r="AJ89" t="s">
        <v>7597</v>
      </c>
      <c r="AL89" t="s">
        <v>7598</v>
      </c>
      <c r="AN89" t="s">
        <v>7599</v>
      </c>
      <c r="AP89" t="s">
        <v>7600</v>
      </c>
      <c r="AQ89" t="s">
        <v>3604</v>
      </c>
    </row>
    <row r="90" spans="1:58">
      <c r="B90" t="s">
        <v>7601</v>
      </c>
      <c r="E90" t="s">
        <v>1556</v>
      </c>
      <c r="H90" t="s">
        <v>441</v>
      </c>
    </row>
    <row r="91" spans="1:58">
      <c r="B91" t="s">
        <v>3683</v>
      </c>
      <c r="R91" t="s">
        <v>166</v>
      </c>
    </row>
    <row r="92" spans="1:58">
      <c r="A92" t="s">
        <v>236</v>
      </c>
      <c r="B92" t="s">
        <v>3634</v>
      </c>
      <c r="K92" t="s">
        <v>7602</v>
      </c>
      <c r="L92" t="s">
        <v>1278</v>
      </c>
      <c r="M92" t="s">
        <v>1279</v>
      </c>
      <c r="N92" t="s">
        <v>1280</v>
      </c>
      <c r="O92" t="s">
        <v>6112</v>
      </c>
      <c r="P92" t="s">
        <v>3637</v>
      </c>
      <c r="R92" t="s">
        <v>6113</v>
      </c>
      <c r="T92" t="s">
        <v>7603</v>
      </c>
      <c r="V92" t="s">
        <v>7604</v>
      </c>
      <c r="X92" t="s">
        <v>7605</v>
      </c>
      <c r="Z92" t="s">
        <v>7606</v>
      </c>
      <c r="AB92" t="s">
        <v>7607</v>
      </c>
      <c r="AD92" t="s">
        <v>7608</v>
      </c>
      <c r="AF92" t="s">
        <v>7609</v>
      </c>
      <c r="AH92" t="s">
        <v>7610</v>
      </c>
      <c r="AJ92" t="s">
        <v>830</v>
      </c>
      <c r="AL92" t="s">
        <v>3647</v>
      </c>
      <c r="AN92" t="s">
        <v>7611</v>
      </c>
      <c r="AP92" t="s">
        <v>3649</v>
      </c>
      <c r="AQ92" t="s">
        <v>3650</v>
      </c>
    </row>
    <row r="93" spans="1:58">
      <c r="A93" t="s">
        <v>311</v>
      </c>
      <c r="B93" t="s">
        <v>1606</v>
      </c>
      <c r="K93" t="s">
        <v>6100</v>
      </c>
      <c r="L93" t="s">
        <v>1278</v>
      </c>
      <c r="M93" t="s">
        <v>1279</v>
      </c>
      <c r="N93" t="s">
        <v>1280</v>
      </c>
      <c r="O93" t="s">
        <v>7612</v>
      </c>
      <c r="P93" t="s">
        <v>3653</v>
      </c>
      <c r="R93" t="s">
        <v>7613</v>
      </c>
      <c r="T93" t="s">
        <v>7614</v>
      </c>
      <c r="V93" t="s">
        <v>7615</v>
      </c>
      <c r="X93" t="s">
        <v>7616</v>
      </c>
      <c r="Z93" t="s">
        <v>7617</v>
      </c>
      <c r="AB93" t="s">
        <v>7618</v>
      </c>
      <c r="AD93" t="s">
        <v>7619</v>
      </c>
      <c r="AF93" t="s">
        <v>7620</v>
      </c>
      <c r="AH93" t="s">
        <v>7621</v>
      </c>
      <c r="AJ93" t="s">
        <v>830</v>
      </c>
      <c r="AL93" t="s">
        <v>3663</v>
      </c>
      <c r="AN93" t="s">
        <v>7622</v>
      </c>
      <c r="AP93" t="s">
        <v>3665</v>
      </c>
      <c r="AQ93" t="s">
        <v>1636</v>
      </c>
    </row>
    <row r="94" spans="1:58">
      <c r="B94" t="s">
        <v>31</v>
      </c>
    </row>
    <row r="95" spans="1:58">
      <c r="B95" t="s">
        <v>3683</v>
      </c>
      <c r="R95" t="s">
        <v>444</v>
      </c>
      <c r="T95" t="s">
        <v>7623</v>
      </c>
      <c r="V95" t="s">
        <v>7624</v>
      </c>
      <c r="X95" t="s">
        <v>7625</v>
      </c>
      <c r="Z95" t="s">
        <v>7626</v>
      </c>
      <c r="AB95" t="s">
        <v>7627</v>
      </c>
      <c r="AD95" t="s">
        <v>7628</v>
      </c>
      <c r="AF95" t="s">
        <v>7629</v>
      </c>
      <c r="AH95" t="s">
        <v>7630</v>
      </c>
      <c r="AJ95" t="s">
        <v>7631</v>
      </c>
      <c r="AL95" t="s">
        <v>7632</v>
      </c>
      <c r="AN95" t="s">
        <v>7633</v>
      </c>
      <c r="AP95" t="s">
        <v>7634</v>
      </c>
      <c r="AQ95" t="s">
        <v>1652</v>
      </c>
    </row>
    <row r="96" spans="1:58">
      <c r="B96" t="s">
        <v>7160</v>
      </c>
    </row>
    <row r="97" spans="1:43">
      <c r="B97" t="s">
        <v>3716</v>
      </c>
      <c r="R97" t="s">
        <v>1590</v>
      </c>
      <c r="T97" t="s">
        <v>7635</v>
      </c>
      <c r="V97" t="s">
        <v>7636</v>
      </c>
      <c r="X97" t="s">
        <v>7637</v>
      </c>
      <c r="Z97" t="s">
        <v>7638</v>
      </c>
      <c r="AB97" t="s">
        <v>7639</v>
      </c>
      <c r="AD97" t="s">
        <v>7640</v>
      </c>
      <c r="AF97" t="s">
        <v>7641</v>
      </c>
      <c r="AH97" t="s">
        <v>7642</v>
      </c>
      <c r="AJ97" t="s">
        <v>7643</v>
      </c>
      <c r="AL97" t="s">
        <v>7644</v>
      </c>
      <c r="AN97" t="s">
        <v>7645</v>
      </c>
      <c r="AP97" t="s">
        <v>7646</v>
      </c>
      <c r="AQ97" t="s">
        <v>3732</v>
      </c>
    </row>
    <row r="98" spans="1:43">
      <c r="B98" t="s">
        <v>7647</v>
      </c>
      <c r="E98" t="s">
        <v>1556</v>
      </c>
      <c r="H98" t="s">
        <v>1605</v>
      </c>
    </row>
    <row r="99" spans="1:43">
      <c r="B99" t="s">
        <v>7648</v>
      </c>
      <c r="R99" t="s">
        <v>445</v>
      </c>
    </row>
    <row r="100" spans="1:43">
      <c r="A100" t="s">
        <v>236</v>
      </c>
      <c r="B100" t="s">
        <v>3766</v>
      </c>
      <c r="K100" t="s">
        <v>7649</v>
      </c>
      <c r="L100" t="s">
        <v>1278</v>
      </c>
      <c r="M100" t="s">
        <v>1279</v>
      </c>
      <c r="N100" t="s">
        <v>1280</v>
      </c>
      <c r="O100" t="s">
        <v>7650</v>
      </c>
      <c r="P100" t="s">
        <v>3769</v>
      </c>
      <c r="R100" t="s">
        <v>7651</v>
      </c>
      <c r="T100" t="s">
        <v>7652</v>
      </c>
      <c r="V100" t="s">
        <v>7653</v>
      </c>
      <c r="X100" t="s">
        <v>7654</v>
      </c>
      <c r="Z100" t="s">
        <v>7655</v>
      </c>
      <c r="AB100" t="s">
        <v>7656</v>
      </c>
      <c r="AD100" t="s">
        <v>7657</v>
      </c>
      <c r="AF100" t="s">
        <v>7658</v>
      </c>
      <c r="AH100" t="s">
        <v>7659</v>
      </c>
      <c r="AJ100" t="s">
        <v>830</v>
      </c>
      <c r="AL100" t="s">
        <v>3779</v>
      </c>
      <c r="AN100" t="s">
        <v>7660</v>
      </c>
      <c r="AP100" t="s">
        <v>3781</v>
      </c>
      <c r="AQ100" t="s">
        <v>3782</v>
      </c>
    </row>
    <row r="101" spans="1:43">
      <c r="B101" t="s">
        <v>31</v>
      </c>
    </row>
    <row r="102" spans="1:43">
      <c r="B102" t="s">
        <v>7648</v>
      </c>
      <c r="R102" t="s">
        <v>448</v>
      </c>
      <c r="T102" t="s">
        <v>7661</v>
      </c>
      <c r="V102" t="s">
        <v>7662</v>
      </c>
      <c r="X102" t="s">
        <v>7663</v>
      </c>
      <c r="Z102" t="s">
        <v>7664</v>
      </c>
      <c r="AB102" t="s">
        <v>7665</v>
      </c>
      <c r="AD102" t="s">
        <v>7666</v>
      </c>
      <c r="AF102" t="s">
        <v>7667</v>
      </c>
      <c r="AH102" t="s">
        <v>7668</v>
      </c>
      <c r="AJ102" t="s">
        <v>7669</v>
      </c>
      <c r="AL102" t="s">
        <v>7670</v>
      </c>
      <c r="AN102" t="s">
        <v>7671</v>
      </c>
      <c r="AP102" t="s">
        <v>7672</v>
      </c>
      <c r="AQ102" t="s">
        <v>7200</v>
      </c>
    </row>
    <row r="103" spans="1:43">
      <c r="B103" t="s">
        <v>1680</v>
      </c>
    </row>
    <row r="104" spans="1:43">
      <c r="B104" t="s">
        <v>62</v>
      </c>
      <c r="N104" t="s">
        <v>7673</v>
      </c>
      <c r="R104" t="s">
        <v>7674</v>
      </c>
      <c r="T104" t="s">
        <v>7675</v>
      </c>
      <c r="V104" t="s">
        <v>7676</v>
      </c>
      <c r="X104" t="s">
        <v>7677</v>
      </c>
      <c r="Z104" t="s">
        <v>7678</v>
      </c>
      <c r="AB104" t="s">
        <v>7679</v>
      </c>
      <c r="AD104" t="s">
        <v>7680</v>
      </c>
      <c r="AF104" t="s">
        <v>7681</v>
      </c>
      <c r="AH104" t="s">
        <v>7682</v>
      </c>
      <c r="AJ104" t="s">
        <v>7683</v>
      </c>
      <c r="AL104" t="s">
        <v>7684</v>
      </c>
      <c r="AN104" t="s">
        <v>7685</v>
      </c>
      <c r="AP104" t="s">
        <v>7686</v>
      </c>
      <c r="AQ104" t="s">
        <v>1697</v>
      </c>
    </row>
    <row r="105" spans="1:43">
      <c r="B105" t="s">
        <v>62</v>
      </c>
    </row>
    <row r="106" spans="1:43">
      <c r="B106" t="s">
        <v>7687</v>
      </c>
      <c r="R106" t="s">
        <v>1654</v>
      </c>
    </row>
    <row r="107" spans="1:43">
      <c r="B107" t="s">
        <v>62</v>
      </c>
      <c r="R107" t="s">
        <v>1655</v>
      </c>
      <c r="T107" t="s">
        <v>7688</v>
      </c>
      <c r="V107" t="s">
        <v>7689</v>
      </c>
      <c r="X107" t="s">
        <v>7690</v>
      </c>
      <c r="Z107" t="s">
        <v>7691</v>
      </c>
      <c r="AB107" t="s">
        <v>7692</v>
      </c>
      <c r="AD107" t="s">
        <v>7693</v>
      </c>
      <c r="AF107" t="s">
        <v>7694</v>
      </c>
      <c r="AH107" t="s">
        <v>7695</v>
      </c>
      <c r="AJ107" t="s">
        <v>7696</v>
      </c>
      <c r="AL107" t="s">
        <v>7697</v>
      </c>
      <c r="AN107" t="s">
        <v>7698</v>
      </c>
      <c r="AP107" t="s">
        <v>7699</v>
      </c>
      <c r="AQ107" t="s">
        <v>1726</v>
      </c>
    </row>
    <row r="108" spans="1:43">
      <c r="B108" t="s">
        <v>62</v>
      </c>
    </row>
    <row r="109" spans="1:43">
      <c r="B109" t="s">
        <v>31</v>
      </c>
    </row>
    <row r="110" spans="1:43">
      <c r="B110" t="s">
        <v>31</v>
      </c>
      <c r="T110" t="s">
        <v>7700</v>
      </c>
      <c r="V110" t="s">
        <v>7701</v>
      </c>
      <c r="X110" t="s">
        <v>7702</v>
      </c>
      <c r="Z110" t="s">
        <v>7703</v>
      </c>
      <c r="AB110" t="s">
        <v>7704</v>
      </c>
      <c r="AD110" t="s">
        <v>7705</v>
      </c>
      <c r="AF110" t="s">
        <v>7706</v>
      </c>
      <c r="AH110" t="s">
        <v>7707</v>
      </c>
      <c r="AJ110" t="s">
        <v>830</v>
      </c>
      <c r="AL110" t="s">
        <v>830</v>
      </c>
      <c r="AN110" t="s">
        <v>7708</v>
      </c>
      <c r="AP110" t="s">
        <v>7709</v>
      </c>
    </row>
    <row r="111" spans="1:43">
      <c r="B111" t="s">
        <v>6295</v>
      </c>
      <c r="E111" t="s">
        <v>451</v>
      </c>
      <c r="R111" t="s">
        <v>452</v>
      </c>
    </row>
    <row r="112" spans="1:43">
      <c r="B112" t="s">
        <v>3863</v>
      </c>
    </row>
    <row r="113" spans="1:43">
      <c r="A113" t="s">
        <v>236</v>
      </c>
      <c r="B113" t="s">
        <v>6230</v>
      </c>
      <c r="K113" t="s">
        <v>7710</v>
      </c>
      <c r="L113" t="s">
        <v>1278</v>
      </c>
      <c r="M113" t="s">
        <v>1279</v>
      </c>
      <c r="N113" t="s">
        <v>1280</v>
      </c>
      <c r="O113" t="s">
        <v>6231</v>
      </c>
      <c r="P113" t="s">
        <v>6232</v>
      </c>
      <c r="R113" t="s">
        <v>6233</v>
      </c>
      <c r="T113" t="s">
        <v>6234</v>
      </c>
      <c r="V113" t="s">
        <v>6235</v>
      </c>
      <c r="X113" t="s">
        <v>6236</v>
      </c>
      <c r="Z113" t="s">
        <v>6237</v>
      </c>
      <c r="AB113" t="s">
        <v>6238</v>
      </c>
      <c r="AD113" t="s">
        <v>6239</v>
      </c>
      <c r="AF113" t="s">
        <v>6240</v>
      </c>
      <c r="AH113" t="s">
        <v>6241</v>
      </c>
      <c r="AJ113" t="s">
        <v>830</v>
      </c>
      <c r="AL113" t="s">
        <v>6242</v>
      </c>
      <c r="AN113" t="s">
        <v>6243</v>
      </c>
      <c r="AP113" t="s">
        <v>6244</v>
      </c>
      <c r="AQ113" t="s">
        <v>1766</v>
      </c>
    </row>
    <row r="114" spans="1:43">
      <c r="A114" t="s">
        <v>311</v>
      </c>
      <c r="B114" t="s">
        <v>6245</v>
      </c>
      <c r="K114" t="s">
        <v>7711</v>
      </c>
      <c r="L114" t="s">
        <v>1278</v>
      </c>
      <c r="M114" t="s">
        <v>1279</v>
      </c>
      <c r="N114" t="s">
        <v>1280</v>
      </c>
      <c r="O114" t="s">
        <v>6247</v>
      </c>
      <c r="P114" t="s">
        <v>6248</v>
      </c>
      <c r="R114" t="s">
        <v>6249</v>
      </c>
      <c r="T114" t="s">
        <v>6250</v>
      </c>
      <c r="V114" t="s">
        <v>6251</v>
      </c>
      <c r="X114" t="s">
        <v>6252</v>
      </c>
      <c r="Z114" t="s">
        <v>6253</v>
      </c>
      <c r="AB114" t="s">
        <v>6254</v>
      </c>
      <c r="AD114" t="s">
        <v>6255</v>
      </c>
      <c r="AF114" t="s">
        <v>6256</v>
      </c>
      <c r="AH114" t="s">
        <v>6257</v>
      </c>
      <c r="AJ114" t="s">
        <v>830</v>
      </c>
      <c r="AL114" t="s">
        <v>6258</v>
      </c>
      <c r="AN114" t="s">
        <v>6259</v>
      </c>
      <c r="AP114" t="s">
        <v>6260</v>
      </c>
      <c r="AQ114" t="s">
        <v>1769</v>
      </c>
    </row>
    <row r="115" spans="1:43">
      <c r="A115" t="s">
        <v>311</v>
      </c>
      <c r="B115" t="s">
        <v>3869</v>
      </c>
      <c r="K115" t="s">
        <v>7226</v>
      </c>
      <c r="L115" t="s">
        <v>1278</v>
      </c>
      <c r="M115" t="s">
        <v>1279</v>
      </c>
      <c r="N115" t="s">
        <v>1280</v>
      </c>
      <c r="O115" t="s">
        <v>6262</v>
      </c>
      <c r="P115" t="s">
        <v>3873</v>
      </c>
      <c r="R115" t="s">
        <v>3874</v>
      </c>
      <c r="T115" t="s">
        <v>6263</v>
      </c>
      <c r="V115" t="s">
        <v>6264</v>
      </c>
      <c r="X115" t="s">
        <v>6265</v>
      </c>
      <c r="Z115" t="s">
        <v>6266</v>
      </c>
      <c r="AB115" t="s">
        <v>6267</v>
      </c>
      <c r="AD115" t="s">
        <v>6268</v>
      </c>
      <c r="AF115" t="s">
        <v>6269</v>
      </c>
      <c r="AH115" t="s">
        <v>6270</v>
      </c>
      <c r="AJ115" t="s">
        <v>830</v>
      </c>
      <c r="AL115" t="s">
        <v>3883</v>
      </c>
      <c r="AN115" t="s">
        <v>6271</v>
      </c>
      <c r="AP115" t="s">
        <v>3885</v>
      </c>
      <c r="AQ115" t="s">
        <v>1779</v>
      </c>
    </row>
    <row r="116" spans="1:43">
      <c r="A116" t="s">
        <v>311</v>
      </c>
      <c r="B116" t="s">
        <v>3886</v>
      </c>
      <c r="K116" t="s">
        <v>5661</v>
      </c>
      <c r="L116" t="s">
        <v>1278</v>
      </c>
      <c r="M116" t="s">
        <v>1279</v>
      </c>
      <c r="N116" t="s">
        <v>1280</v>
      </c>
      <c r="O116" t="s">
        <v>7712</v>
      </c>
      <c r="P116" t="s">
        <v>3890</v>
      </c>
      <c r="R116" t="s">
        <v>3891</v>
      </c>
      <c r="T116" t="s">
        <v>7713</v>
      </c>
      <c r="V116" t="s">
        <v>7714</v>
      </c>
      <c r="X116" t="s">
        <v>7715</v>
      </c>
      <c r="Z116" t="s">
        <v>7716</v>
      </c>
      <c r="AB116" t="s">
        <v>7717</v>
      </c>
      <c r="AD116" t="s">
        <v>7718</v>
      </c>
      <c r="AF116" t="s">
        <v>7719</v>
      </c>
      <c r="AH116" t="s">
        <v>7720</v>
      </c>
      <c r="AJ116" t="s">
        <v>830</v>
      </c>
      <c r="AL116" t="s">
        <v>3900</v>
      </c>
      <c r="AN116" t="s">
        <v>7721</v>
      </c>
      <c r="AP116" t="s">
        <v>3902</v>
      </c>
      <c r="AQ116" t="s">
        <v>1791</v>
      </c>
    </row>
    <row r="117" spans="1:43">
      <c r="A117" t="s">
        <v>311</v>
      </c>
      <c r="B117" t="s">
        <v>3903</v>
      </c>
      <c r="K117" t="s">
        <v>6246</v>
      </c>
      <c r="L117" t="s">
        <v>1278</v>
      </c>
      <c r="M117" t="s">
        <v>1279</v>
      </c>
      <c r="N117" t="s">
        <v>1280</v>
      </c>
      <c r="O117" t="s">
        <v>7722</v>
      </c>
      <c r="P117" t="s">
        <v>3906</v>
      </c>
      <c r="R117" t="s">
        <v>3907</v>
      </c>
      <c r="T117" t="s">
        <v>7723</v>
      </c>
      <c r="V117" t="s">
        <v>7724</v>
      </c>
      <c r="X117" t="s">
        <v>7725</v>
      </c>
      <c r="Z117" t="s">
        <v>7726</v>
      </c>
      <c r="AB117" t="s">
        <v>7727</v>
      </c>
      <c r="AD117" t="s">
        <v>7728</v>
      </c>
      <c r="AF117" t="s">
        <v>7729</v>
      </c>
      <c r="AH117" t="s">
        <v>7730</v>
      </c>
      <c r="AJ117" t="s">
        <v>830</v>
      </c>
      <c r="AL117" t="s">
        <v>3916</v>
      </c>
      <c r="AN117" t="s">
        <v>7731</v>
      </c>
      <c r="AP117" t="s">
        <v>3918</v>
      </c>
      <c r="AQ117" t="s">
        <v>3919</v>
      </c>
    </row>
    <row r="118" spans="1:43">
      <c r="B118" t="s">
        <v>31</v>
      </c>
    </row>
    <row r="119" spans="1:43">
      <c r="B119" t="s">
        <v>31</v>
      </c>
      <c r="T119" t="s">
        <v>7732</v>
      </c>
      <c r="V119" t="s">
        <v>7733</v>
      </c>
      <c r="X119" t="s">
        <v>7734</v>
      </c>
      <c r="Z119" t="s">
        <v>7735</v>
      </c>
      <c r="AB119" t="s">
        <v>7736</v>
      </c>
      <c r="AD119" t="s">
        <v>7737</v>
      </c>
      <c r="AF119" t="s">
        <v>7738</v>
      </c>
      <c r="AH119" t="s">
        <v>7739</v>
      </c>
      <c r="AJ119" t="s">
        <v>7740</v>
      </c>
      <c r="AL119" t="s">
        <v>7741</v>
      </c>
      <c r="AN119" t="s">
        <v>7742</v>
      </c>
      <c r="AP119" t="s">
        <v>7743</v>
      </c>
      <c r="AQ119" t="s">
        <v>3953</v>
      </c>
    </row>
    <row r="120" spans="1:43">
      <c r="A120" t="s">
        <v>236</v>
      </c>
      <c r="B120" t="s">
        <v>6295</v>
      </c>
      <c r="K120" t="s">
        <v>1711</v>
      </c>
      <c r="L120" t="s">
        <v>1278</v>
      </c>
      <c r="M120" t="s">
        <v>1279</v>
      </c>
      <c r="N120" t="s">
        <v>1280</v>
      </c>
      <c r="O120" t="s">
        <v>3958</v>
      </c>
      <c r="P120" t="s">
        <v>1713</v>
      </c>
      <c r="R120" t="s">
        <v>457</v>
      </c>
      <c r="T120" t="s">
        <v>7744</v>
      </c>
      <c r="V120" t="s">
        <v>7745</v>
      </c>
      <c r="X120" t="s">
        <v>7746</v>
      </c>
      <c r="Z120" t="s">
        <v>7747</v>
      </c>
      <c r="AB120" t="s">
        <v>7748</v>
      </c>
      <c r="AD120" t="s">
        <v>7749</v>
      </c>
      <c r="AF120" t="s">
        <v>7750</v>
      </c>
      <c r="AH120" t="s">
        <v>7751</v>
      </c>
      <c r="AJ120" t="s">
        <v>7752</v>
      </c>
      <c r="AL120" t="s">
        <v>3968</v>
      </c>
      <c r="AN120" t="s">
        <v>7753</v>
      </c>
      <c r="AP120" t="s">
        <v>7754</v>
      </c>
      <c r="AQ120" t="s">
        <v>3971</v>
      </c>
    </row>
    <row r="121" spans="1:43">
      <c r="B121" t="s">
        <v>1809</v>
      </c>
    </row>
    <row r="122" spans="1:43">
      <c r="B122" t="s">
        <v>7755</v>
      </c>
      <c r="R122" t="s">
        <v>458</v>
      </c>
      <c r="T122" t="s">
        <v>7756</v>
      </c>
      <c r="V122" t="s">
        <v>7757</v>
      </c>
      <c r="X122" t="s">
        <v>7758</v>
      </c>
      <c r="Z122" t="s">
        <v>7759</v>
      </c>
      <c r="AB122" t="s">
        <v>7760</v>
      </c>
      <c r="AD122" t="s">
        <v>7761</v>
      </c>
      <c r="AF122" t="s">
        <v>7762</v>
      </c>
      <c r="AH122" t="s">
        <v>7763</v>
      </c>
      <c r="AJ122" t="s">
        <v>7764</v>
      </c>
      <c r="AL122" t="s">
        <v>7765</v>
      </c>
      <c r="AN122" t="s">
        <v>7766</v>
      </c>
      <c r="AP122" t="s">
        <v>7767</v>
      </c>
      <c r="AQ122" t="s">
        <v>4007</v>
      </c>
    </row>
    <row r="123" spans="1:43">
      <c r="B123" t="s">
        <v>1809</v>
      </c>
    </row>
    <row r="124" spans="1:43">
      <c r="B124" t="s">
        <v>62</v>
      </c>
      <c r="R124" t="s">
        <v>1742</v>
      </c>
      <c r="T124" t="s">
        <v>7768</v>
      </c>
      <c r="V124" t="s">
        <v>7769</v>
      </c>
      <c r="X124" t="s">
        <v>7770</v>
      </c>
      <c r="Z124" t="s">
        <v>7771</v>
      </c>
      <c r="AB124" t="s">
        <v>7772</v>
      </c>
      <c r="AD124" t="s">
        <v>7773</v>
      </c>
      <c r="AF124" t="s">
        <v>7774</v>
      </c>
      <c r="AH124" t="s">
        <v>7775</v>
      </c>
      <c r="AJ124" t="s">
        <v>7776</v>
      </c>
      <c r="AL124" t="s">
        <v>7777</v>
      </c>
      <c r="AN124" t="s">
        <v>7778</v>
      </c>
      <c r="AP124" t="s">
        <v>7779</v>
      </c>
      <c r="AQ124" t="s">
        <v>4042</v>
      </c>
    </row>
    <row r="125" spans="1:43">
      <c r="B125" t="s">
        <v>62</v>
      </c>
    </row>
    <row r="126" spans="1:43">
      <c r="B126" t="s">
        <v>31</v>
      </c>
      <c r="O126" t="s">
        <v>459</v>
      </c>
      <c r="P126" t="s">
        <v>1756</v>
      </c>
      <c r="R126" t="s">
        <v>460</v>
      </c>
      <c r="T126" t="s">
        <v>7780</v>
      </c>
      <c r="V126" t="s">
        <v>7781</v>
      </c>
      <c r="X126" t="s">
        <v>7782</v>
      </c>
      <c r="Z126" t="s">
        <v>7783</v>
      </c>
      <c r="AB126" t="s">
        <v>7784</v>
      </c>
      <c r="AD126" t="s">
        <v>7785</v>
      </c>
      <c r="AF126" t="s">
        <v>7786</v>
      </c>
      <c r="AH126" t="s">
        <v>7787</v>
      </c>
      <c r="AJ126" t="s">
        <v>830</v>
      </c>
      <c r="AL126" t="s">
        <v>6339</v>
      </c>
      <c r="AN126" t="s">
        <v>830</v>
      </c>
      <c r="AP126" t="s">
        <v>830</v>
      </c>
      <c r="AQ126" t="s">
        <v>4076</v>
      </c>
    </row>
    <row r="127" spans="1:43">
      <c r="B127" t="s">
        <v>31</v>
      </c>
      <c r="R127" t="s">
        <v>461</v>
      </c>
      <c r="T127" t="s">
        <v>830</v>
      </c>
      <c r="V127" t="s">
        <v>830</v>
      </c>
      <c r="X127" t="s">
        <v>830</v>
      </c>
      <c r="Z127" t="s">
        <v>830</v>
      </c>
      <c r="AB127" t="s">
        <v>830</v>
      </c>
      <c r="AF127" t="s">
        <v>7788</v>
      </c>
      <c r="AH127" t="s">
        <v>7789</v>
      </c>
      <c r="AJ127" t="s">
        <v>830</v>
      </c>
      <c r="AN127" t="s">
        <v>830</v>
      </c>
      <c r="AP127" t="s">
        <v>830</v>
      </c>
      <c r="AQ127" t="s">
        <v>4094</v>
      </c>
    </row>
    <row r="128" spans="1:43">
      <c r="B128" t="s">
        <v>31</v>
      </c>
      <c r="R128" t="s">
        <v>462</v>
      </c>
      <c r="T128" t="s">
        <v>7790</v>
      </c>
      <c r="V128" t="s">
        <v>7791</v>
      </c>
      <c r="X128" t="s">
        <v>7792</v>
      </c>
      <c r="Z128" t="s">
        <v>7793</v>
      </c>
      <c r="AB128" t="s">
        <v>7794</v>
      </c>
      <c r="AD128" t="s">
        <v>7795</v>
      </c>
      <c r="AF128" t="s">
        <v>7796</v>
      </c>
      <c r="AH128" t="s">
        <v>7797</v>
      </c>
      <c r="AJ128" t="s">
        <v>830</v>
      </c>
      <c r="AL128" t="s">
        <v>7798</v>
      </c>
      <c r="AN128" t="s">
        <v>830</v>
      </c>
      <c r="AP128" t="s">
        <v>830</v>
      </c>
      <c r="AQ128" t="s">
        <v>7316</v>
      </c>
    </row>
    <row r="129" spans="2:43">
      <c r="B129" t="s">
        <v>62</v>
      </c>
      <c r="O129" t="s">
        <v>459</v>
      </c>
      <c r="P129" t="s">
        <v>1756</v>
      </c>
      <c r="R129" t="s">
        <v>1780</v>
      </c>
      <c r="T129" t="s">
        <v>7799</v>
      </c>
      <c r="V129" t="s">
        <v>7800</v>
      </c>
      <c r="X129" t="s">
        <v>7801</v>
      </c>
      <c r="Z129" t="s">
        <v>7802</v>
      </c>
      <c r="AB129" t="s">
        <v>7803</v>
      </c>
      <c r="AD129" t="s">
        <v>7804</v>
      </c>
      <c r="AF129" t="s">
        <v>7805</v>
      </c>
      <c r="AH129" t="s">
        <v>7806</v>
      </c>
      <c r="AJ129" t="s">
        <v>830</v>
      </c>
      <c r="AL129" t="s">
        <v>7807</v>
      </c>
      <c r="AN129" t="s">
        <v>830</v>
      </c>
      <c r="AP129" t="s">
        <v>7808</v>
      </c>
      <c r="AQ129" t="s">
        <v>4109</v>
      </c>
    </row>
    <row r="130" spans="2:43">
      <c r="B130" t="s">
        <v>62</v>
      </c>
    </row>
    <row r="131" spans="2:43">
      <c r="B131" t="s">
        <v>62</v>
      </c>
      <c r="R131" t="s">
        <v>1792</v>
      </c>
      <c r="T131" t="s">
        <v>7809</v>
      </c>
      <c r="V131" t="s">
        <v>7810</v>
      </c>
      <c r="X131" t="s">
        <v>7811</v>
      </c>
      <c r="Z131" t="s">
        <v>7812</v>
      </c>
      <c r="AB131" t="s">
        <v>7813</v>
      </c>
      <c r="AD131" t="s">
        <v>7814</v>
      </c>
      <c r="AF131" t="s">
        <v>7815</v>
      </c>
      <c r="AH131" t="s">
        <v>7816</v>
      </c>
      <c r="AJ131" t="s">
        <v>7817</v>
      </c>
      <c r="AL131" t="s">
        <v>7818</v>
      </c>
      <c r="AN131" t="s">
        <v>7819</v>
      </c>
      <c r="AP131" t="s">
        <v>7820</v>
      </c>
      <c r="AQ131" t="s">
        <v>7821</v>
      </c>
    </row>
    <row r="132" spans="2:43">
      <c r="B132" t="s">
        <v>6364</v>
      </c>
    </row>
    <row r="133" spans="2:43">
      <c r="B133" t="s">
        <v>6365</v>
      </c>
      <c r="AQ133" t="s">
        <v>7822</v>
      </c>
    </row>
    <row r="134" spans="2:43">
      <c r="B134" t="s">
        <v>6366</v>
      </c>
    </row>
    <row r="135" spans="2:43">
      <c r="B135" t="s">
        <v>6367</v>
      </c>
      <c r="T135" t="s">
        <v>301</v>
      </c>
      <c r="V135" t="s">
        <v>1811</v>
      </c>
      <c r="X135" t="s">
        <v>1811</v>
      </c>
      <c r="Z135" t="s">
        <v>1811</v>
      </c>
      <c r="AB135" t="s">
        <v>1812</v>
      </c>
      <c r="AD135" t="s">
        <v>1813</v>
      </c>
      <c r="AF135" t="s">
        <v>1814</v>
      </c>
      <c r="AH135" t="s">
        <v>1815</v>
      </c>
      <c r="AJ135" t="s">
        <v>1816</v>
      </c>
      <c r="AL135" t="s">
        <v>1817</v>
      </c>
      <c r="AN135" t="s">
        <v>1818</v>
      </c>
      <c r="AP135" t="s">
        <v>1819</v>
      </c>
    </row>
    <row r="136" spans="2:43">
      <c r="B136" t="s">
        <v>1099</v>
      </c>
      <c r="T136" t="s">
        <v>1821</v>
      </c>
      <c r="V136" t="s">
        <v>1822</v>
      </c>
      <c r="X136" t="s">
        <v>1823</v>
      </c>
      <c r="Z136" t="s">
        <v>1824</v>
      </c>
      <c r="AB136" t="s">
        <v>1825</v>
      </c>
      <c r="AD136" t="s">
        <v>1826</v>
      </c>
      <c r="AF136" t="s">
        <v>1827</v>
      </c>
      <c r="AH136" t="s">
        <v>1828</v>
      </c>
      <c r="AJ136" t="s">
        <v>1829</v>
      </c>
      <c r="AL136" t="s">
        <v>1830</v>
      </c>
      <c r="AN136" t="s">
        <v>1831</v>
      </c>
      <c r="AP136" t="s">
        <v>1832</v>
      </c>
    </row>
    <row r="137" spans="2:43">
      <c r="B137" t="s">
        <v>1100</v>
      </c>
      <c r="T137" t="s">
        <v>1834</v>
      </c>
      <c r="V137" t="s">
        <v>1835</v>
      </c>
      <c r="X137" t="s">
        <v>1836</v>
      </c>
      <c r="Z137" t="s">
        <v>1837</v>
      </c>
      <c r="AB137" t="s">
        <v>1838</v>
      </c>
      <c r="AD137" t="s">
        <v>1839</v>
      </c>
      <c r="AF137" t="s">
        <v>1840</v>
      </c>
      <c r="AH137" t="s">
        <v>1841</v>
      </c>
      <c r="AJ137" t="s">
        <v>1842</v>
      </c>
      <c r="AL137" t="s">
        <v>1843</v>
      </c>
      <c r="AN137" t="s">
        <v>1844</v>
      </c>
      <c r="AP137" t="s">
        <v>1845</v>
      </c>
    </row>
    <row r="138" spans="2:43">
      <c r="B138" t="s">
        <v>1101</v>
      </c>
    </row>
    <row r="139" spans="2:43">
      <c r="B139" t="s">
        <v>1102</v>
      </c>
      <c r="P139" t="s">
        <v>463</v>
      </c>
      <c r="T139" t="s">
        <v>7823</v>
      </c>
      <c r="V139" t="s">
        <v>7824</v>
      </c>
      <c r="X139" t="s">
        <v>7825</v>
      </c>
      <c r="Z139" t="s">
        <v>7826</v>
      </c>
      <c r="AB139" t="s">
        <v>7827</v>
      </c>
      <c r="AD139" t="s">
        <v>7828</v>
      </c>
      <c r="AF139" t="s">
        <v>7829</v>
      </c>
      <c r="AH139" t="s">
        <v>7830</v>
      </c>
      <c r="AJ139" t="s">
        <v>830</v>
      </c>
      <c r="AL139" t="s">
        <v>830</v>
      </c>
      <c r="AN139" t="s">
        <v>830</v>
      </c>
      <c r="AP139" t="s">
        <v>830</v>
      </c>
    </row>
    <row r="140" spans="2:43">
      <c r="B140" t="s">
        <v>1105</v>
      </c>
      <c r="P140" t="s">
        <v>464</v>
      </c>
      <c r="T140" t="s">
        <v>7831</v>
      </c>
      <c r="V140" t="s">
        <v>7832</v>
      </c>
      <c r="X140" t="s">
        <v>7833</v>
      </c>
      <c r="Z140" t="s">
        <v>7834</v>
      </c>
      <c r="AB140" t="s">
        <v>7835</v>
      </c>
      <c r="AD140" t="s">
        <v>7836</v>
      </c>
      <c r="AF140" t="s">
        <v>7837</v>
      </c>
      <c r="AH140" t="s">
        <v>7838</v>
      </c>
      <c r="AJ140" t="s">
        <v>830</v>
      </c>
      <c r="AL140" t="s">
        <v>830</v>
      </c>
      <c r="AN140" t="s">
        <v>830</v>
      </c>
      <c r="AP140" t="s">
        <v>830</v>
      </c>
    </row>
    <row r="141" spans="2:43">
      <c r="B141" t="s">
        <v>1106</v>
      </c>
      <c r="P141" t="s">
        <v>451</v>
      </c>
      <c r="T141" t="s">
        <v>7839</v>
      </c>
      <c r="V141" t="s">
        <v>7840</v>
      </c>
      <c r="X141" t="s">
        <v>7841</v>
      </c>
      <c r="Z141" t="s">
        <v>7842</v>
      </c>
      <c r="AB141" t="s">
        <v>7843</v>
      </c>
      <c r="AD141" t="s">
        <v>7844</v>
      </c>
      <c r="AF141" t="s">
        <v>7845</v>
      </c>
      <c r="AH141" t="s">
        <v>7846</v>
      </c>
      <c r="AJ141" t="s">
        <v>830</v>
      </c>
      <c r="AL141" t="s">
        <v>830</v>
      </c>
      <c r="AN141" t="s">
        <v>830</v>
      </c>
      <c r="AP141" t="s">
        <v>830</v>
      </c>
    </row>
    <row r="142" spans="2:43">
      <c r="B142" t="s">
        <v>1109</v>
      </c>
      <c r="P142" t="s">
        <v>465</v>
      </c>
      <c r="T142" t="s">
        <v>7847</v>
      </c>
      <c r="V142" t="s">
        <v>7848</v>
      </c>
      <c r="X142" t="s">
        <v>7849</v>
      </c>
      <c r="Z142" t="s">
        <v>7850</v>
      </c>
      <c r="AB142" t="s">
        <v>7851</v>
      </c>
      <c r="AD142" t="s">
        <v>7852</v>
      </c>
      <c r="AF142" t="s">
        <v>7853</v>
      </c>
      <c r="AH142" t="s">
        <v>7854</v>
      </c>
      <c r="AJ142" t="s">
        <v>830</v>
      </c>
      <c r="AL142" t="s">
        <v>830</v>
      </c>
      <c r="AN142" t="s">
        <v>830</v>
      </c>
      <c r="AP142" t="s">
        <v>830</v>
      </c>
    </row>
    <row r="143" spans="2:43">
      <c r="B143" t="s">
        <v>1115</v>
      </c>
    </row>
    <row r="144" spans="2:43">
      <c r="B144" t="s">
        <v>7855</v>
      </c>
      <c r="R144" t="s">
        <v>7856</v>
      </c>
      <c r="V144" t="s">
        <v>7857</v>
      </c>
      <c r="X144" t="s">
        <v>7858</v>
      </c>
      <c r="Z144" t="s">
        <v>7859</v>
      </c>
      <c r="AB144" t="s">
        <v>7860</v>
      </c>
      <c r="AD144" t="s">
        <v>7861</v>
      </c>
      <c r="AF144" t="s">
        <v>7862</v>
      </c>
      <c r="AH144" t="s">
        <v>7863</v>
      </c>
      <c r="AN144" t="s">
        <v>7864</v>
      </c>
    </row>
    <row r="145" spans="2:32">
      <c r="B145" t="s">
        <v>31</v>
      </c>
    </row>
    <row r="146" spans="2:32">
      <c r="B146" t="s">
        <v>31</v>
      </c>
      <c r="T146" t="s">
        <v>461</v>
      </c>
      <c r="AD146" t="s">
        <v>466</v>
      </c>
      <c r="AF146" t="s">
        <v>466</v>
      </c>
    </row>
    <row r="147" spans="2:32">
      <c r="B147" t="s">
        <v>31</v>
      </c>
      <c r="P147" t="s">
        <v>463</v>
      </c>
      <c r="T147" t="s">
        <v>7865</v>
      </c>
      <c r="AD147" t="s">
        <v>7866</v>
      </c>
      <c r="AF147" t="s">
        <v>7867</v>
      </c>
    </row>
    <row r="148" spans="2:32">
      <c r="B148" t="s">
        <v>31</v>
      </c>
      <c r="P148" t="s">
        <v>464</v>
      </c>
      <c r="T148" t="s">
        <v>5837</v>
      </c>
      <c r="AD148" t="s">
        <v>7868</v>
      </c>
      <c r="AF148" t="s">
        <v>7869</v>
      </c>
    </row>
    <row r="149" spans="2:32">
      <c r="B149" t="s">
        <v>31</v>
      </c>
      <c r="P149" t="s">
        <v>451</v>
      </c>
      <c r="T149" t="s">
        <v>7870</v>
      </c>
      <c r="AD149" t="s">
        <v>7871</v>
      </c>
      <c r="AF149" t="s">
        <v>7872</v>
      </c>
    </row>
    <row r="150" spans="2:32">
      <c r="B150" t="s">
        <v>31</v>
      </c>
      <c r="AD150" t="s">
        <v>7873</v>
      </c>
      <c r="AF150" t="s">
        <v>7874</v>
      </c>
    </row>
    <row r="151" spans="2:32">
      <c r="B151" t="s">
        <v>6422</v>
      </c>
    </row>
    <row r="152" spans="2:32">
      <c r="B152" t="s">
        <v>6426</v>
      </c>
    </row>
    <row r="153" spans="2:32">
      <c r="B153" t="s">
        <v>6430</v>
      </c>
      <c r="P153" t="s">
        <v>1277</v>
      </c>
      <c r="R153" t="s">
        <v>467</v>
      </c>
      <c r="X153" t="s">
        <v>7875</v>
      </c>
      <c r="Z153" t="s">
        <v>7876</v>
      </c>
      <c r="AB153" t="s">
        <v>7877</v>
      </c>
    </row>
    <row r="154" spans="2:32">
      <c r="B154" t="s">
        <v>6434</v>
      </c>
      <c r="P154" t="s">
        <v>1907</v>
      </c>
      <c r="R154" t="s">
        <v>468</v>
      </c>
      <c r="V154" t="s">
        <v>1908</v>
      </c>
      <c r="X154" t="s">
        <v>6435</v>
      </c>
      <c r="Z154" t="s">
        <v>7878</v>
      </c>
      <c r="AB154" t="s">
        <v>6437</v>
      </c>
    </row>
    <row r="155" spans="2:32">
      <c r="B155" t="s">
        <v>4512</v>
      </c>
      <c r="P155" t="s">
        <v>556</v>
      </c>
      <c r="R155" t="s">
        <v>469</v>
      </c>
      <c r="V155" t="s">
        <v>1908</v>
      </c>
      <c r="X155" t="s">
        <v>6439</v>
      </c>
      <c r="Z155" t="s">
        <v>7879</v>
      </c>
      <c r="AB155" t="s">
        <v>6441</v>
      </c>
    </row>
    <row r="156" spans="2:32">
      <c r="B156" t="s">
        <v>6442</v>
      </c>
      <c r="P156" t="s">
        <v>1915</v>
      </c>
      <c r="R156" t="s">
        <v>439</v>
      </c>
      <c r="V156" t="s">
        <v>470</v>
      </c>
      <c r="X156" t="s">
        <v>6444</v>
      </c>
      <c r="Z156" t="s">
        <v>7880</v>
      </c>
      <c r="AB156" t="s">
        <v>6446</v>
      </c>
    </row>
    <row r="157" spans="2:32">
      <c r="B157" t="s">
        <v>6447</v>
      </c>
      <c r="P157" t="s">
        <v>6448</v>
      </c>
      <c r="R157" t="s">
        <v>439</v>
      </c>
      <c r="V157" t="s">
        <v>470</v>
      </c>
      <c r="X157" t="s">
        <v>6449</v>
      </c>
      <c r="Z157" t="s">
        <v>7881</v>
      </c>
      <c r="AB157" t="s">
        <v>6451</v>
      </c>
    </row>
    <row r="158" spans="2:32">
      <c r="B158" t="s">
        <v>6452</v>
      </c>
      <c r="P158" t="s">
        <v>7882</v>
      </c>
      <c r="R158" t="s">
        <v>439</v>
      </c>
      <c r="V158" t="s">
        <v>470</v>
      </c>
      <c r="X158" t="s">
        <v>7883</v>
      </c>
      <c r="Z158" t="s">
        <v>7884</v>
      </c>
      <c r="AB158" t="s">
        <v>6454</v>
      </c>
    </row>
    <row r="159" spans="2:32">
      <c r="B159" t="s">
        <v>7885</v>
      </c>
      <c r="P159" t="s">
        <v>7886</v>
      </c>
      <c r="R159" t="s">
        <v>439</v>
      </c>
      <c r="V159" t="s">
        <v>470</v>
      </c>
      <c r="X159" t="s">
        <v>7887</v>
      </c>
      <c r="Z159" t="s">
        <v>7888</v>
      </c>
      <c r="AB159" t="s">
        <v>7889</v>
      </c>
    </row>
    <row r="160" spans="2:32">
      <c r="B160" t="s">
        <v>7890</v>
      </c>
      <c r="R160" t="s">
        <v>471</v>
      </c>
      <c r="Z160" t="s">
        <v>7891</v>
      </c>
      <c r="AB160" t="s">
        <v>7892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C1:AF68"/>
  <sheetViews>
    <sheetView topLeftCell="B3" zoomScale="80" zoomScaleNormal="80" zoomScaleSheetLayoutView="80" workbookViewId="0">
      <pane xSplit="1" ySplit="7" topLeftCell="C10" activePane="bottomRight" state="frozen"/>
      <selection activeCell="B3" sqref="B3"/>
      <selection pane="topRight" activeCell="C3" sqref="C3"/>
      <selection pane="bottomLeft" activeCell="B10" sqref="B10"/>
      <selection pane="bottomRight"/>
    </sheetView>
  </sheetViews>
  <sheetFormatPr defaultRowHeight="12.75"/>
  <cols>
    <col min="2" max="2" width="1.28515625" customWidth="1"/>
    <col min="4" max="5" width="7.7109375" customWidth="1"/>
    <col min="6" max="7" width="13.7109375" customWidth="1"/>
    <col min="8" max="8" width="12.28515625" customWidth="1"/>
    <col min="9" max="10" width="13.7109375" customWidth="1"/>
    <col min="11" max="11" width="12.28515625" customWidth="1"/>
    <col min="12" max="13" width="13.7109375" customWidth="1"/>
    <col min="14" max="14" width="12.28515625" customWidth="1"/>
    <col min="15" max="16" width="13.7109375" customWidth="1"/>
    <col min="17" max="17" width="12.28515625" customWidth="1"/>
    <col min="18" max="18" width="11.42578125" customWidth="1"/>
    <col min="19" max="19" width="8.28515625" customWidth="1"/>
    <col min="20" max="24" width="0" hidden="1" customWidth="1"/>
    <col min="25" max="25" width="0" style="48" hidden="1" customWidth="1"/>
    <col min="26" max="30" width="0" hidden="1" customWidth="1"/>
    <col min="31" max="31" width="1.28515625" style="1172" customWidth="1"/>
    <col min="32" max="32" width="9.140625" style="1172"/>
  </cols>
  <sheetData>
    <row r="1" spans="3:32">
      <c r="C1" s="1173"/>
      <c r="D1" s="1173"/>
      <c r="E1" s="1174"/>
      <c r="F1" s="1174"/>
      <c r="G1" s="1174"/>
      <c r="H1" s="1174"/>
      <c r="I1" s="1174"/>
      <c r="J1" s="1174"/>
      <c r="K1" s="1174"/>
      <c r="L1" s="1174"/>
      <c r="M1" s="1174"/>
      <c r="N1" s="1174"/>
      <c r="O1" s="1174"/>
      <c r="P1" s="1174"/>
      <c r="Q1" s="1175"/>
      <c r="R1" s="1176"/>
      <c r="S1" s="1176"/>
      <c r="T1" s="1177"/>
      <c r="U1" s="71"/>
      <c r="V1" s="1176"/>
      <c r="W1" s="71"/>
      <c r="X1" s="71"/>
      <c r="Y1" s="244"/>
      <c r="Z1" s="68"/>
      <c r="AA1" s="1178"/>
      <c r="AB1" s="1178"/>
      <c r="AC1" s="1178"/>
      <c r="AD1" s="1176"/>
      <c r="AE1" s="1176"/>
      <c r="AF1" s="1176"/>
    </row>
    <row r="2" spans="3:32">
      <c r="C2" s="1449" t="s">
        <v>567</v>
      </c>
      <c r="D2" s="1449"/>
      <c r="E2" s="1449"/>
      <c r="F2" s="1449"/>
      <c r="G2" s="1449"/>
      <c r="H2" s="1449"/>
      <c r="I2" s="1449"/>
      <c r="J2" s="1449"/>
      <c r="K2" s="1449"/>
      <c r="L2" s="1449"/>
      <c r="M2" s="1449"/>
      <c r="N2" s="1449"/>
      <c r="O2" s="1449"/>
      <c r="P2" s="1449"/>
      <c r="Q2" s="1449"/>
      <c r="R2" s="1449"/>
      <c r="S2" s="1449"/>
      <c r="T2" s="1177"/>
      <c r="U2" s="71"/>
      <c r="V2" s="1176"/>
      <c r="W2" s="71"/>
      <c r="X2" s="71"/>
      <c r="Y2" s="244"/>
      <c r="Z2" s="1177"/>
      <c r="AA2" s="1179"/>
      <c r="AB2" s="1180"/>
      <c r="AC2" s="1181"/>
      <c r="AD2" s="1176"/>
      <c r="AE2" s="1176"/>
      <c r="AF2" s="1177"/>
    </row>
    <row r="3" spans="3:32" ht="20.25">
      <c r="C3" s="1437" t="s">
        <v>567</v>
      </c>
      <c r="D3" s="1437"/>
      <c r="E3" s="1437"/>
      <c r="F3" s="1437"/>
      <c r="G3" s="1437"/>
      <c r="H3" s="1437"/>
      <c r="I3" s="1437"/>
      <c r="J3" s="1437"/>
      <c r="K3" s="1437"/>
      <c r="L3" s="1437"/>
      <c r="M3" s="1437"/>
      <c r="N3" s="1437"/>
      <c r="O3" s="1437"/>
      <c r="P3" s="1437"/>
      <c r="Q3" s="1437"/>
      <c r="R3" s="1437"/>
      <c r="S3" s="1437"/>
      <c r="T3" s="1182"/>
      <c r="U3" s="71"/>
      <c r="V3" s="77"/>
      <c r="W3" s="71"/>
      <c r="X3" s="71"/>
      <c r="Y3" s="244"/>
      <c r="Z3" s="77"/>
      <c r="AA3" s="1183"/>
      <c r="AB3" s="1184"/>
      <c r="AC3" s="1181"/>
      <c r="AD3" s="1176"/>
      <c r="AE3" s="1177"/>
      <c r="AF3" s="1177"/>
    </row>
    <row r="4" spans="3:32" ht="20.25">
      <c r="C4" s="1437" t="s">
        <v>569</v>
      </c>
      <c r="D4" s="1437"/>
      <c r="E4" s="1437"/>
      <c r="F4" s="1437"/>
      <c r="G4" s="1437"/>
      <c r="H4" s="1437"/>
      <c r="I4" s="1437"/>
      <c r="J4" s="1437"/>
      <c r="K4" s="1437"/>
      <c r="L4" s="1437"/>
      <c r="M4" s="1437"/>
      <c r="N4" s="1437"/>
      <c r="O4" s="1437"/>
      <c r="P4" s="1437"/>
      <c r="Q4" s="1437"/>
      <c r="R4" s="1437"/>
      <c r="S4" s="1437"/>
      <c r="T4" s="1182"/>
      <c r="U4" s="71"/>
      <c r="V4" s="77"/>
      <c r="W4" s="71"/>
      <c r="X4" s="71"/>
      <c r="Y4" s="244"/>
      <c r="Z4" s="77"/>
      <c r="AA4" s="1185" t="s">
        <v>7893</v>
      </c>
      <c r="AB4" s="1184"/>
      <c r="AC4" s="1181"/>
      <c r="AD4" s="1176"/>
      <c r="AE4" s="1177"/>
      <c r="AF4" s="1177"/>
    </row>
    <row r="5" spans="3:32" ht="18" customHeight="1">
      <c r="C5" s="1438" t="s">
        <v>7894</v>
      </c>
      <c r="D5" s="1438"/>
      <c r="E5" s="1438"/>
      <c r="F5" s="1438"/>
      <c r="G5" s="1438"/>
      <c r="H5" s="1438"/>
      <c r="I5" s="1438"/>
      <c r="J5" s="1438"/>
      <c r="K5" s="1438"/>
      <c r="L5" s="1438"/>
      <c r="M5" s="1438"/>
      <c r="N5" s="1438"/>
      <c r="O5" s="1438"/>
      <c r="P5" s="1438"/>
      <c r="Q5" s="1438"/>
      <c r="R5" s="1438"/>
      <c r="S5" s="1438"/>
      <c r="T5" s="1186"/>
      <c r="U5" s="1187"/>
      <c r="V5" s="1188"/>
      <c r="W5" s="1187"/>
      <c r="X5" s="1187"/>
      <c r="Y5" s="1189"/>
      <c r="Z5" s="1190"/>
      <c r="AA5" s="1185" t="s">
        <v>7895</v>
      </c>
      <c r="AB5" s="1178"/>
      <c r="AC5" s="1191"/>
      <c r="AD5" s="1188"/>
      <c r="AE5" s="1190"/>
      <c r="AF5" s="1190"/>
    </row>
    <row r="6" spans="3:32" ht="18" customHeight="1">
      <c r="C6" s="1439" t="s">
        <v>571</v>
      </c>
      <c r="D6" s="1439"/>
      <c r="E6" s="1439"/>
      <c r="F6" s="1450" t="s">
        <v>145</v>
      </c>
      <c r="G6" s="1450"/>
      <c r="H6" s="1450"/>
      <c r="I6" s="1451" t="s">
        <v>146</v>
      </c>
      <c r="J6" s="1451"/>
      <c r="K6" s="1451"/>
      <c r="L6" s="1452" t="s">
        <v>147</v>
      </c>
      <c r="M6" s="1452"/>
      <c r="N6" s="1452"/>
      <c r="O6" s="1453" t="s">
        <v>148</v>
      </c>
      <c r="P6" s="1453"/>
      <c r="Q6" s="1453"/>
      <c r="R6" s="1192"/>
      <c r="S6" s="1193"/>
      <c r="T6" s="1194"/>
      <c r="U6" s="244"/>
      <c r="V6" s="1173" t="s">
        <v>149</v>
      </c>
      <c r="W6" s="1195"/>
      <c r="X6" s="1195"/>
      <c r="Y6" s="244"/>
      <c r="Z6" s="1177"/>
      <c r="AA6" s="1191" t="s">
        <v>7896</v>
      </c>
      <c r="AB6" s="1184"/>
      <c r="AC6" s="1180"/>
      <c r="AD6" s="1176"/>
      <c r="AE6" s="1177"/>
      <c r="AF6" s="1177"/>
    </row>
    <row r="7" spans="3:32" ht="18" customHeight="1">
      <c r="C7" s="827"/>
      <c r="D7" s="828"/>
      <c r="E7" s="1196"/>
      <c r="F7" s="1197" t="s">
        <v>153</v>
      </c>
      <c r="G7" s="1198" t="s">
        <v>154</v>
      </c>
      <c r="H7" s="833" t="s">
        <v>155</v>
      </c>
      <c r="I7" s="1197" t="str">
        <f>O7</f>
        <v>FY 2017</v>
      </c>
      <c r="J7" s="1198" t="str">
        <f>P7</f>
        <v>FY 2016</v>
      </c>
      <c r="K7" s="834" t="s">
        <v>155</v>
      </c>
      <c r="L7" s="1197" t="str">
        <f>I7</f>
        <v>FY 2017</v>
      </c>
      <c r="M7" s="1198" t="str">
        <f>J7</f>
        <v>FY 2016</v>
      </c>
      <c r="N7" s="833" t="s">
        <v>155</v>
      </c>
      <c r="O7" s="1197" t="str">
        <f>F7</f>
        <v>FY 2017</v>
      </c>
      <c r="P7" s="1198" t="str">
        <f>G7</f>
        <v>FY 2016</v>
      </c>
      <c r="Q7" s="833" t="s">
        <v>155</v>
      </c>
      <c r="R7" s="1199" t="s">
        <v>299</v>
      </c>
      <c r="S7" s="1200" t="s">
        <v>299</v>
      </c>
      <c r="T7" s="1194"/>
      <c r="U7" s="244"/>
      <c r="V7" s="1173" t="s">
        <v>156</v>
      </c>
      <c r="W7" s="1201" t="s">
        <v>157</v>
      </c>
      <c r="X7" s="1201"/>
      <c r="Y7" s="244"/>
      <c r="Z7" s="1177"/>
      <c r="AA7" s="1202">
        <f ca="1">'Assess_Rates-Rev1'!AF6</f>
        <v>1850042</v>
      </c>
      <c r="AB7" s="1178"/>
      <c r="AC7" s="1203"/>
      <c r="AD7" s="1176"/>
      <c r="AE7" s="1177"/>
      <c r="AF7" s="1177"/>
    </row>
    <row r="8" spans="3:32" ht="51">
      <c r="C8" s="1204" t="s">
        <v>161</v>
      </c>
      <c r="D8" s="1205"/>
      <c r="E8" s="840" t="s">
        <v>163</v>
      </c>
      <c r="F8" s="1206" t="s">
        <v>164</v>
      </c>
      <c r="G8" s="1207" t="s">
        <v>164</v>
      </c>
      <c r="H8" s="1208" t="s">
        <v>165</v>
      </c>
      <c r="I8" s="1209" t="s">
        <v>575</v>
      </c>
      <c r="J8" s="1210" t="s">
        <v>575</v>
      </c>
      <c r="K8" s="1208" t="s">
        <v>165</v>
      </c>
      <c r="L8" s="1209" t="s">
        <v>575</v>
      </c>
      <c r="M8" s="1210" t="s">
        <v>575</v>
      </c>
      <c r="N8" s="1208" t="s">
        <v>165</v>
      </c>
      <c r="O8" s="1206" t="s">
        <v>148</v>
      </c>
      <c r="P8" s="1207" t="s">
        <v>148</v>
      </c>
      <c r="Q8" s="1208" t="s">
        <v>165</v>
      </c>
      <c r="R8" s="1211" t="s">
        <v>168</v>
      </c>
      <c r="S8" s="1212" t="s">
        <v>158</v>
      </c>
      <c r="T8" s="1213" t="s">
        <v>158</v>
      </c>
      <c r="U8" s="1214" t="s">
        <v>169</v>
      </c>
      <c r="V8" s="1215" t="s">
        <v>170</v>
      </c>
      <c r="W8" s="1216" t="s">
        <v>171</v>
      </c>
      <c r="X8" s="1216"/>
      <c r="Y8" s="1217" t="s">
        <v>172</v>
      </c>
      <c r="Z8" s="1218"/>
      <c r="AA8" s="1219" t="s">
        <v>142</v>
      </c>
      <c r="AB8" s="1220" t="s">
        <v>7897</v>
      </c>
      <c r="AC8" s="1221" t="s">
        <v>7898</v>
      </c>
      <c r="AD8" s="1188"/>
      <c r="AE8" s="1190"/>
      <c r="AF8" s="1222"/>
    </row>
    <row r="9" spans="3:32" ht="13.5" hidden="1" customHeight="1">
      <c r="C9" s="1223"/>
      <c r="D9" s="1224"/>
      <c r="E9" s="855"/>
      <c r="F9" s="1225"/>
      <c r="G9" s="1226"/>
      <c r="H9" s="1227"/>
      <c r="I9" s="1225"/>
      <c r="J9" s="1226"/>
      <c r="K9" s="1227"/>
      <c r="L9" s="1225"/>
      <c r="M9" s="1226"/>
      <c r="N9" s="1227"/>
      <c r="O9" s="1225"/>
      <c r="P9" s="1226"/>
      <c r="Q9" s="1227"/>
      <c r="R9" s="1228" t="s">
        <v>168</v>
      </c>
      <c r="S9" s="1229" t="s">
        <v>158</v>
      </c>
      <c r="T9" s="1188"/>
      <c r="U9" s="1188"/>
      <c r="V9" s="1188"/>
      <c r="W9" s="1188"/>
      <c r="X9" s="1188"/>
      <c r="Y9" s="1230"/>
      <c r="Z9" s="1190"/>
      <c r="AA9" s="1231"/>
      <c r="AB9" s="1231"/>
      <c r="AC9" s="1231"/>
      <c r="AD9" s="1188"/>
      <c r="AE9" s="1190"/>
      <c r="AF9" s="1190"/>
    </row>
    <row r="10" spans="3:32" ht="15" customHeight="1">
      <c r="C10" s="1232" t="s">
        <v>144</v>
      </c>
      <c r="D10" s="1233"/>
      <c r="E10" s="1196"/>
      <c r="F10" s="1234"/>
      <c r="G10" s="1235"/>
      <c r="H10" s="1236"/>
      <c r="I10" s="1234"/>
      <c r="J10" s="1235"/>
      <c r="K10" s="1237"/>
      <c r="L10" s="1234"/>
      <c r="M10" s="1235"/>
      <c r="N10" s="1236"/>
      <c r="O10" s="1234"/>
      <c r="P10" s="1235"/>
      <c r="Q10" s="1236"/>
      <c r="R10" s="1238"/>
      <c r="S10" s="1239"/>
      <c r="T10" s="1177"/>
      <c r="U10" s="71"/>
      <c r="V10" s="1240"/>
      <c r="W10" s="71"/>
      <c r="X10" s="71"/>
      <c r="Y10" s="1241"/>
      <c r="Z10" s="1177"/>
      <c r="AA10" s="1178"/>
      <c r="AB10" s="1178"/>
      <c r="AC10" s="1178"/>
      <c r="AD10" s="1176"/>
      <c r="AE10" s="228"/>
      <c r="AF10" s="1194"/>
    </row>
    <row r="11" spans="3:32" ht="15" customHeight="1">
      <c r="C11" s="871" t="s">
        <v>185</v>
      </c>
      <c r="D11" s="1242" t="s">
        <v>185</v>
      </c>
      <c r="E11" s="1243" t="s">
        <v>187</v>
      </c>
      <c r="F11" s="875">
        <f t="shared" ref="F11:F34" ca="1" si="0">ROUND(AA11/R11,2)</f>
        <v>486.65</v>
      </c>
      <c r="G11" s="876">
        <v>486.65</v>
      </c>
      <c r="H11" s="877">
        <f t="shared" ref="H11:H38" ca="1" si="1">(+F11-G11)/G11</f>
        <v>0</v>
      </c>
      <c r="I11" s="875">
        <v>605.71463673480946</v>
      </c>
      <c r="J11" s="876">
        <v>605.71463673480946</v>
      </c>
      <c r="K11" s="877">
        <f t="shared" ref="K11:K38" si="2">(+I11-J11)/J11</f>
        <v>0</v>
      </c>
      <c r="L11" s="875">
        <v>0</v>
      </c>
      <c r="M11" s="876">
        <v>0</v>
      </c>
      <c r="N11" s="877">
        <v>0</v>
      </c>
      <c r="O11" s="875">
        <f t="shared" ref="O11:O39" ca="1" si="3">I11+F11</f>
        <v>1092.3646367348094</v>
      </c>
      <c r="P11" s="876">
        <f t="shared" ref="P11:P39" si="4">J11+G11</f>
        <v>1092.3646367348094</v>
      </c>
      <c r="Q11" s="877">
        <f t="shared" ref="Q11:Q38" ca="1" si="5">(+O11-P11)/P11</f>
        <v>0</v>
      </c>
      <c r="R11" s="1244">
        <v>186</v>
      </c>
      <c r="S11" s="1245"/>
      <c r="T11" s="1246">
        <v>19.77</v>
      </c>
      <c r="U11" s="71"/>
      <c r="V11" s="1247">
        <f>T11/T53</f>
        <v>4.5990935376542745E-2</v>
      </c>
      <c r="W11" s="236">
        <f>T11/R11</f>
        <v>0.10629032258064516</v>
      </c>
      <c r="X11" s="236"/>
      <c r="Y11" s="1248">
        <v>2</v>
      </c>
      <c r="Z11" s="1249"/>
      <c r="AA11" s="1250">
        <f t="shared" ref="AA11:AA39" ca="1" si="6">AA$7*V11/0.94</f>
        <v>90516.129857329681</v>
      </c>
      <c r="AB11" s="1251">
        <f t="shared" ref="AB11:AB39" si="7">I11*(R11-Y11)</f>
        <v>111451.49315920494</v>
      </c>
      <c r="AC11" s="1178"/>
      <c r="AD11" s="1252"/>
      <c r="AE11" s="68"/>
      <c r="AF11" s="1177"/>
    </row>
    <row r="12" spans="3:32" ht="15" customHeight="1">
      <c r="C12" s="871" t="s">
        <v>188</v>
      </c>
      <c r="D12" s="1242" t="s">
        <v>189</v>
      </c>
      <c r="E12" s="1243">
        <v>80</v>
      </c>
      <c r="F12" s="875">
        <f t="shared" ca="1" si="0"/>
        <v>1538.44</v>
      </c>
      <c r="G12" s="876">
        <v>1538.44</v>
      </c>
      <c r="H12" s="877">
        <f t="shared" ca="1" si="1"/>
        <v>0</v>
      </c>
      <c r="I12" s="875">
        <v>1914.8681554901182</v>
      </c>
      <c r="J12" s="876">
        <v>1914.8681554901182</v>
      </c>
      <c r="K12" s="877">
        <f t="shared" si="2"/>
        <v>0</v>
      </c>
      <c r="L12" s="875">
        <v>0</v>
      </c>
      <c r="M12" s="876">
        <v>0</v>
      </c>
      <c r="N12" s="877">
        <v>0</v>
      </c>
      <c r="O12" s="875">
        <f t="shared" ca="1" si="3"/>
        <v>3453.3081554901182</v>
      </c>
      <c r="P12" s="876">
        <f t="shared" si="4"/>
        <v>3453.3081554901182</v>
      </c>
      <c r="Q12" s="877">
        <f t="shared" ca="1" si="5"/>
        <v>0</v>
      </c>
      <c r="R12" s="1244">
        <v>9</v>
      </c>
      <c r="S12" s="1245"/>
      <c r="T12" s="1246">
        <v>23.58</v>
      </c>
      <c r="U12" s="71">
        <f t="shared" ref="U12:U29" si="8">+E12*R12</f>
        <v>720</v>
      </c>
      <c r="V12" s="1247">
        <f t="shared" ref="V12:V16" si="9">(U12/SUM(U$12:U$16))*T$12/T$53</f>
        <v>7.0350868299371523E-3</v>
      </c>
      <c r="W12" s="236">
        <f t="shared" ref="W12:W16" si="10">T$12*(U12/SUM(U$12:U$16))/R12</f>
        <v>0.33601710010687563</v>
      </c>
      <c r="X12" s="236"/>
      <c r="Y12" s="1248">
        <v>1</v>
      </c>
      <c r="Z12" s="1249"/>
      <c r="AA12" s="1250">
        <f t="shared" ca="1" si="6"/>
        <v>13845.963945777223</v>
      </c>
      <c r="AB12" s="1251">
        <f t="shared" si="7"/>
        <v>15318.945243920945</v>
      </c>
      <c r="AC12" s="1178"/>
      <c r="AD12" s="1176"/>
      <c r="AE12" s="68"/>
      <c r="AF12" s="1177"/>
    </row>
    <row r="13" spans="3:32" ht="15" customHeight="1">
      <c r="C13" s="882"/>
      <c r="D13" s="1253" t="s">
        <v>189</v>
      </c>
      <c r="E13" s="1224">
        <v>65</v>
      </c>
      <c r="F13" s="884">
        <f t="shared" ca="1" si="0"/>
        <v>1249.98</v>
      </c>
      <c r="G13" s="885">
        <v>1249.99</v>
      </c>
      <c r="H13" s="886">
        <f t="shared" ca="1" si="1"/>
        <v>-8.000064000504728E-6</v>
      </c>
      <c r="I13" s="884">
        <v>1555.8314743609492</v>
      </c>
      <c r="J13" s="885">
        <v>1555.8314743609492</v>
      </c>
      <c r="K13" s="886">
        <f t="shared" si="2"/>
        <v>0</v>
      </c>
      <c r="L13" s="884">
        <v>0</v>
      </c>
      <c r="M13" s="885">
        <v>0</v>
      </c>
      <c r="N13" s="886">
        <v>0</v>
      </c>
      <c r="O13" s="884">
        <f t="shared" ca="1" si="3"/>
        <v>2805.8114743609494</v>
      </c>
      <c r="P13" s="885">
        <f t="shared" si="4"/>
        <v>2805.8214743609492</v>
      </c>
      <c r="Q13" s="886">
        <f t="shared" ca="1" si="5"/>
        <v>-3.564018627393648E-6</v>
      </c>
      <c r="R13" s="1254">
        <v>25</v>
      </c>
      <c r="S13" s="1255"/>
      <c r="T13" s="1246"/>
      <c r="U13" s="71">
        <f t="shared" si="8"/>
        <v>1625</v>
      </c>
      <c r="V13" s="1247">
        <f t="shared" si="9"/>
        <v>1.5877800137010935E-2</v>
      </c>
      <c r="W13" s="236">
        <f t="shared" si="10"/>
        <v>0.27301389383683644</v>
      </c>
      <c r="X13" s="236"/>
      <c r="Y13" s="1248">
        <v>3</v>
      </c>
      <c r="Z13" s="1249"/>
      <c r="AA13" s="1250">
        <f t="shared" ca="1" si="6"/>
        <v>31249.571405399987</v>
      </c>
      <c r="AB13" s="1251">
        <f t="shared" si="7"/>
        <v>34228.292435940879</v>
      </c>
      <c r="AC13" s="1178"/>
      <c r="AD13" s="1176"/>
      <c r="AE13" s="68"/>
      <c r="AF13" s="1177"/>
    </row>
    <row r="14" spans="3:32" ht="15" customHeight="1">
      <c r="C14" s="882"/>
      <c r="D14" s="1253" t="s">
        <v>189</v>
      </c>
      <c r="E14" s="1224">
        <v>52</v>
      </c>
      <c r="F14" s="884">
        <f t="shared" ca="1" si="0"/>
        <v>999.99</v>
      </c>
      <c r="G14" s="885">
        <v>999.99</v>
      </c>
      <c r="H14" s="886">
        <f t="shared" ca="1" si="1"/>
        <v>0</v>
      </c>
      <c r="I14" s="884">
        <v>1244.6599089676652</v>
      </c>
      <c r="J14" s="885">
        <v>1244.6599089676652</v>
      </c>
      <c r="K14" s="886">
        <f t="shared" si="2"/>
        <v>0</v>
      </c>
      <c r="L14" s="884">
        <v>0</v>
      </c>
      <c r="M14" s="885">
        <v>0</v>
      </c>
      <c r="N14" s="886">
        <v>0</v>
      </c>
      <c r="O14" s="884">
        <f t="shared" ca="1" si="3"/>
        <v>2244.6499089676654</v>
      </c>
      <c r="P14" s="885">
        <f t="shared" si="4"/>
        <v>2244.6499089676654</v>
      </c>
      <c r="Q14" s="886">
        <f t="shared" ca="1" si="5"/>
        <v>0</v>
      </c>
      <c r="R14" s="1254">
        <v>35</v>
      </c>
      <c r="S14" s="1255"/>
      <c r="T14" s="1246"/>
      <c r="U14" s="71">
        <f t="shared" si="8"/>
        <v>1820</v>
      </c>
      <c r="V14" s="1247">
        <f t="shared" si="9"/>
        <v>1.7783136153452249E-2</v>
      </c>
      <c r="W14" s="236">
        <f t="shared" si="10"/>
        <v>0.21841111506946917</v>
      </c>
      <c r="X14" s="236"/>
      <c r="Y14" s="1248">
        <v>9</v>
      </c>
      <c r="Z14" s="1249"/>
      <c r="AA14" s="1250">
        <f t="shared" ca="1" si="6"/>
        <v>34999.519974047987</v>
      </c>
      <c r="AB14" s="1251">
        <f t="shared" si="7"/>
        <v>32361.157633159295</v>
      </c>
      <c r="AC14" s="1178"/>
      <c r="AD14" s="1176"/>
      <c r="AE14" s="68"/>
      <c r="AF14" s="1177"/>
    </row>
    <row r="15" spans="3:32" ht="15" customHeight="1">
      <c r="C15" s="882"/>
      <c r="D15" s="1253" t="s">
        <v>189</v>
      </c>
      <c r="E15" s="1224">
        <v>42</v>
      </c>
      <c r="F15" s="884">
        <f t="shared" ca="1" si="0"/>
        <v>807.68</v>
      </c>
      <c r="G15" s="885">
        <v>807.68</v>
      </c>
      <c r="H15" s="886">
        <f t="shared" ca="1" si="1"/>
        <v>0</v>
      </c>
      <c r="I15" s="884">
        <v>1005.3079776827678</v>
      </c>
      <c r="J15" s="885">
        <v>1005.3079776827678</v>
      </c>
      <c r="K15" s="886">
        <f t="shared" si="2"/>
        <v>0</v>
      </c>
      <c r="L15" s="884">
        <v>0</v>
      </c>
      <c r="M15" s="885">
        <v>0</v>
      </c>
      <c r="N15" s="886">
        <v>0</v>
      </c>
      <c r="O15" s="884">
        <f t="shared" ca="1" si="3"/>
        <v>1812.9879776827679</v>
      </c>
      <c r="P15" s="885">
        <f t="shared" si="4"/>
        <v>1812.9879776827679</v>
      </c>
      <c r="Q15" s="886">
        <f t="shared" ca="1" si="5"/>
        <v>0</v>
      </c>
      <c r="R15" s="1254">
        <v>22</v>
      </c>
      <c r="S15" s="1255"/>
      <c r="T15" s="1246"/>
      <c r="U15" s="71">
        <f t="shared" si="8"/>
        <v>924</v>
      </c>
      <c r="V15" s="1247">
        <f t="shared" si="9"/>
        <v>9.0283614317526791E-3</v>
      </c>
      <c r="W15" s="236">
        <f t="shared" si="10"/>
        <v>0.17640897755610971</v>
      </c>
      <c r="X15" s="236"/>
      <c r="Y15" s="1248">
        <v>1</v>
      </c>
      <c r="Z15" s="1249"/>
      <c r="AA15" s="1250">
        <f t="shared" ca="1" si="6"/>
        <v>17768.987063747438</v>
      </c>
      <c r="AB15" s="1251">
        <f t="shared" si="7"/>
        <v>21111.467531338123</v>
      </c>
      <c r="AC15" s="1178"/>
      <c r="AD15" s="1176"/>
      <c r="AE15" s="68"/>
      <c r="AF15" s="1177"/>
    </row>
    <row r="16" spans="3:32" ht="15" customHeight="1">
      <c r="C16" s="882"/>
      <c r="D16" s="1253" t="s">
        <v>189</v>
      </c>
      <c r="E16" s="1224">
        <v>35</v>
      </c>
      <c r="F16" s="884">
        <f t="shared" ca="1" si="0"/>
        <v>673.07</v>
      </c>
      <c r="G16" s="885">
        <v>673.07</v>
      </c>
      <c r="H16" s="886">
        <f t="shared" ca="1" si="1"/>
        <v>0</v>
      </c>
      <c r="I16" s="884">
        <v>837.74932790078719</v>
      </c>
      <c r="J16" s="885">
        <v>837.74932790078719</v>
      </c>
      <c r="K16" s="886">
        <f t="shared" si="2"/>
        <v>0</v>
      </c>
      <c r="L16" s="884">
        <v>0</v>
      </c>
      <c r="M16" s="885">
        <v>0</v>
      </c>
      <c r="N16" s="886">
        <v>0</v>
      </c>
      <c r="O16" s="884">
        <f t="shared" ca="1" si="3"/>
        <v>1510.8193279007874</v>
      </c>
      <c r="P16" s="885">
        <f t="shared" si="4"/>
        <v>1510.8193279007874</v>
      </c>
      <c r="Q16" s="886">
        <f t="shared" ca="1" si="5"/>
        <v>0</v>
      </c>
      <c r="R16" s="1254">
        <v>15</v>
      </c>
      <c r="S16" s="1255"/>
      <c r="T16" s="1246"/>
      <c r="U16" s="71">
        <f t="shared" si="8"/>
        <v>525</v>
      </c>
      <c r="V16" s="1247">
        <f t="shared" si="9"/>
        <v>5.1297508134958408E-3</v>
      </c>
      <c r="W16" s="236">
        <f t="shared" si="10"/>
        <v>0.14700748129675809</v>
      </c>
      <c r="X16" s="236"/>
      <c r="Y16" s="1248">
        <v>3</v>
      </c>
      <c r="Z16" s="1249"/>
      <c r="AA16" s="1250">
        <f t="shared" ca="1" si="6"/>
        <v>10096.015377129226</v>
      </c>
      <c r="AB16" s="1251">
        <f t="shared" si="7"/>
        <v>10052.991934809446</v>
      </c>
      <c r="AC16" s="1178"/>
      <c r="AD16" s="1176"/>
      <c r="AE16" s="68"/>
      <c r="AF16" s="1177"/>
    </row>
    <row r="17" spans="3:32" ht="15" customHeight="1">
      <c r="C17" s="871" t="s">
        <v>194</v>
      </c>
      <c r="D17" s="1242" t="s">
        <v>189</v>
      </c>
      <c r="E17" s="1243">
        <f t="shared" ref="E17:E29" si="11">E12</f>
        <v>80</v>
      </c>
      <c r="F17" s="875">
        <f t="shared" ca="1" si="0"/>
        <v>1513.16</v>
      </c>
      <c r="G17" s="876">
        <v>1513.17</v>
      </c>
      <c r="H17" s="877">
        <f t="shared" ca="1" si="1"/>
        <v>-6.6086427830256376E-6</v>
      </c>
      <c r="I17" s="875">
        <v>1883.403144558582</v>
      </c>
      <c r="J17" s="876">
        <v>1883.403144558582</v>
      </c>
      <c r="K17" s="877">
        <f t="shared" si="2"/>
        <v>0</v>
      </c>
      <c r="L17" s="875">
        <v>0</v>
      </c>
      <c r="M17" s="876">
        <v>0</v>
      </c>
      <c r="N17" s="877">
        <v>0</v>
      </c>
      <c r="O17" s="875">
        <f t="shared" ca="1" si="3"/>
        <v>3396.5631445585823</v>
      </c>
      <c r="P17" s="876">
        <f t="shared" si="4"/>
        <v>3396.573144558582</v>
      </c>
      <c r="Q17" s="877">
        <f t="shared" ca="1" si="5"/>
        <v>-2.9441438691770406E-6</v>
      </c>
      <c r="R17" s="1244">
        <v>10</v>
      </c>
      <c r="S17" s="1245"/>
      <c r="T17" s="1246">
        <v>25.82</v>
      </c>
      <c r="U17" s="71">
        <f t="shared" si="8"/>
        <v>800</v>
      </c>
      <c r="V17" s="1247">
        <f t="shared" ref="V17:V21" si="12">(U17/SUM(U$17:U$21))*T$17/T$53</f>
        <v>7.6883258362194593E-3</v>
      </c>
      <c r="W17" s="236">
        <f t="shared" ref="W17:W21" si="13">T$17*(U17/SUM(U$17:U$21))/R17</f>
        <v>0.33049600000000001</v>
      </c>
      <c r="X17" s="236"/>
      <c r="Y17" s="1248">
        <v>2</v>
      </c>
      <c r="Z17" s="1249"/>
      <c r="AA17" s="1250">
        <f t="shared" ca="1" si="6"/>
        <v>15131.623092224598</v>
      </c>
      <c r="AB17" s="1251">
        <f t="shared" si="7"/>
        <v>15067.225156468656</v>
      </c>
      <c r="AC17" s="1178"/>
      <c r="AD17" s="1176"/>
      <c r="AE17" s="68"/>
      <c r="AF17" s="1177"/>
    </row>
    <row r="18" spans="3:32" ht="15" customHeight="1">
      <c r="C18" s="882"/>
      <c r="D18" s="1253" t="s">
        <v>189</v>
      </c>
      <c r="E18" s="1224">
        <f t="shared" si="11"/>
        <v>65</v>
      </c>
      <c r="F18" s="884">
        <f t="shared" ca="1" si="0"/>
        <v>1229.44</v>
      </c>
      <c r="G18" s="885">
        <v>1229.45</v>
      </c>
      <c r="H18" s="886">
        <f t="shared" ca="1" si="1"/>
        <v>-8.1337183293268578E-6</v>
      </c>
      <c r="I18" s="884">
        <v>1530.2606628529361</v>
      </c>
      <c r="J18" s="885">
        <v>1530.2606628529361</v>
      </c>
      <c r="K18" s="886">
        <f t="shared" si="2"/>
        <v>0</v>
      </c>
      <c r="L18" s="884">
        <v>0</v>
      </c>
      <c r="M18" s="885">
        <v>0</v>
      </c>
      <c r="N18" s="886">
        <v>0</v>
      </c>
      <c r="O18" s="884">
        <f t="shared" ca="1" si="3"/>
        <v>2759.7006628529361</v>
      </c>
      <c r="P18" s="885">
        <f t="shared" si="4"/>
        <v>2759.7106628529364</v>
      </c>
      <c r="Q18" s="886">
        <f t="shared" ca="1" si="5"/>
        <v>-3.6235682728712107E-6</v>
      </c>
      <c r="R18" s="1254">
        <v>30</v>
      </c>
      <c r="S18" s="1255"/>
      <c r="T18" s="1246"/>
      <c r="U18" s="71">
        <f t="shared" si="8"/>
        <v>1950</v>
      </c>
      <c r="V18" s="1247">
        <f t="shared" si="12"/>
        <v>1.8740294225784934E-2</v>
      </c>
      <c r="W18" s="236">
        <f t="shared" si="13"/>
        <v>0.26852799999999999</v>
      </c>
      <c r="X18" s="236"/>
      <c r="Y18" s="1248">
        <v>4</v>
      </c>
      <c r="Z18" s="1249"/>
      <c r="AA18" s="1250">
        <f t="shared" ca="1" si="6"/>
        <v>36883.331287297464</v>
      </c>
      <c r="AB18" s="1251">
        <f t="shared" si="7"/>
        <v>39786.777234176341</v>
      </c>
      <c r="AC18" s="1178"/>
      <c r="AD18" s="1176"/>
      <c r="AE18" s="68"/>
      <c r="AF18" s="1177"/>
    </row>
    <row r="19" spans="3:32" ht="15" customHeight="1">
      <c r="C19" s="882"/>
      <c r="D19" s="1253" t="s">
        <v>189</v>
      </c>
      <c r="E19" s="1224">
        <f t="shared" si="11"/>
        <v>52</v>
      </c>
      <c r="F19" s="884">
        <f t="shared" ca="1" si="0"/>
        <v>983.56</v>
      </c>
      <c r="G19" s="885">
        <v>983.56</v>
      </c>
      <c r="H19" s="886">
        <f t="shared" ca="1" si="1"/>
        <v>0</v>
      </c>
      <c r="I19" s="884">
        <v>1224.2102871227137</v>
      </c>
      <c r="J19" s="885">
        <v>1224.2102871227137</v>
      </c>
      <c r="K19" s="886">
        <f t="shared" si="2"/>
        <v>0</v>
      </c>
      <c r="L19" s="884">
        <v>0</v>
      </c>
      <c r="M19" s="885">
        <v>0</v>
      </c>
      <c r="N19" s="886">
        <v>0</v>
      </c>
      <c r="O19" s="884">
        <f t="shared" ca="1" si="3"/>
        <v>2207.7702871227139</v>
      </c>
      <c r="P19" s="885">
        <f t="shared" si="4"/>
        <v>2207.7702871227139</v>
      </c>
      <c r="Q19" s="886">
        <f t="shared" ca="1" si="5"/>
        <v>0</v>
      </c>
      <c r="R19" s="1254">
        <v>35</v>
      </c>
      <c r="S19" s="1255"/>
      <c r="T19" s="1246"/>
      <c r="U19" s="71">
        <f t="shared" si="8"/>
        <v>1820</v>
      </c>
      <c r="V19" s="1247">
        <f t="shared" si="12"/>
        <v>1.749094127739927E-2</v>
      </c>
      <c r="W19" s="236">
        <f t="shared" si="13"/>
        <v>0.2148224</v>
      </c>
      <c r="X19" s="236"/>
      <c r="Y19" s="1248">
        <v>2</v>
      </c>
      <c r="Z19" s="1249"/>
      <c r="AA19" s="1250">
        <f t="shared" ca="1" si="6"/>
        <v>34424.442534810958</v>
      </c>
      <c r="AB19" s="1251">
        <f t="shared" si="7"/>
        <v>40398.939475049548</v>
      </c>
      <c r="AC19" s="1178"/>
      <c r="AD19" s="1176"/>
      <c r="AE19" s="68"/>
      <c r="AF19" s="1177"/>
    </row>
    <row r="20" spans="3:32" ht="15" customHeight="1">
      <c r="C20" s="882"/>
      <c r="D20" s="1253" t="s">
        <v>189</v>
      </c>
      <c r="E20" s="1224">
        <f t="shared" si="11"/>
        <v>42</v>
      </c>
      <c r="F20" s="884">
        <f t="shared" ca="1" si="0"/>
        <v>794.41</v>
      </c>
      <c r="G20" s="885">
        <v>794.41</v>
      </c>
      <c r="H20" s="886">
        <f t="shared" ca="1" si="1"/>
        <v>0</v>
      </c>
      <c r="I20" s="884">
        <v>988.78489405289088</v>
      </c>
      <c r="J20" s="885">
        <v>988.78489405289088</v>
      </c>
      <c r="K20" s="886">
        <f t="shared" si="2"/>
        <v>0</v>
      </c>
      <c r="L20" s="884">
        <v>0</v>
      </c>
      <c r="M20" s="885">
        <v>0</v>
      </c>
      <c r="N20" s="886">
        <v>0</v>
      </c>
      <c r="O20" s="884">
        <f t="shared" ca="1" si="3"/>
        <v>1783.194894052891</v>
      </c>
      <c r="P20" s="885">
        <f t="shared" si="4"/>
        <v>1783.194894052891</v>
      </c>
      <c r="Q20" s="886">
        <f t="shared" ca="1" si="5"/>
        <v>0</v>
      </c>
      <c r="R20" s="1254">
        <v>30</v>
      </c>
      <c r="S20" s="1255"/>
      <c r="T20" s="1246"/>
      <c r="U20" s="71">
        <f t="shared" si="8"/>
        <v>1260</v>
      </c>
      <c r="V20" s="1247">
        <f t="shared" si="12"/>
        <v>1.2109113192045648E-2</v>
      </c>
      <c r="W20" s="236">
        <f t="shared" si="13"/>
        <v>0.17351040000000001</v>
      </c>
      <c r="X20" s="236"/>
      <c r="Y20" s="1248">
        <v>3</v>
      </c>
      <c r="Z20" s="1249"/>
      <c r="AA20" s="1250">
        <f t="shared" ca="1" si="6"/>
        <v>23832.30637025374</v>
      </c>
      <c r="AB20" s="1251">
        <f t="shared" si="7"/>
        <v>26697.192139428054</v>
      </c>
      <c r="AC20" s="1178"/>
      <c r="AD20" s="1176"/>
      <c r="AE20" s="68"/>
      <c r="AF20" s="1177"/>
    </row>
    <row r="21" spans="3:32" ht="15" customHeight="1">
      <c r="C21" s="882"/>
      <c r="D21" s="1253" t="s">
        <v>189</v>
      </c>
      <c r="E21" s="1224">
        <f t="shared" si="11"/>
        <v>35</v>
      </c>
      <c r="F21" s="884">
        <f t="shared" ca="1" si="0"/>
        <v>662.01</v>
      </c>
      <c r="G21" s="885">
        <v>662.01</v>
      </c>
      <c r="H21" s="886">
        <f t="shared" ca="1" si="1"/>
        <v>0</v>
      </c>
      <c r="I21" s="884">
        <v>823.98448364346791</v>
      </c>
      <c r="J21" s="885">
        <v>823.98448364346791</v>
      </c>
      <c r="K21" s="886">
        <f t="shared" si="2"/>
        <v>0</v>
      </c>
      <c r="L21" s="884">
        <v>0</v>
      </c>
      <c r="M21" s="885">
        <v>0</v>
      </c>
      <c r="N21" s="886">
        <v>0</v>
      </c>
      <c r="O21" s="884">
        <f t="shared" ca="1" si="3"/>
        <v>1485.9944836434679</v>
      </c>
      <c r="P21" s="885">
        <f t="shared" si="4"/>
        <v>1485.9944836434679</v>
      </c>
      <c r="Q21" s="886">
        <f t="shared" ca="1" si="5"/>
        <v>0</v>
      </c>
      <c r="R21" s="1254">
        <v>12</v>
      </c>
      <c r="S21" s="1255"/>
      <c r="T21" s="1246"/>
      <c r="U21" s="71">
        <f t="shared" si="8"/>
        <v>420</v>
      </c>
      <c r="V21" s="1247">
        <f t="shared" si="12"/>
        <v>4.0363710640152163E-3</v>
      </c>
      <c r="W21" s="236">
        <f t="shared" si="13"/>
        <v>0.144592</v>
      </c>
      <c r="X21" s="236"/>
      <c r="Y21" s="1248">
        <v>1</v>
      </c>
      <c r="Z21" s="1249"/>
      <c r="AA21" s="1250">
        <f t="shared" ca="1" si="6"/>
        <v>7944.1021234179143</v>
      </c>
      <c r="AB21" s="1251">
        <f t="shared" si="7"/>
        <v>9063.8293200781463</v>
      </c>
      <c r="AC21" s="1178"/>
      <c r="AD21" s="1176"/>
      <c r="AE21" s="68"/>
      <c r="AF21" s="1177"/>
    </row>
    <row r="22" spans="3:32" ht="15" customHeight="1">
      <c r="C22" s="871" t="s">
        <v>195</v>
      </c>
      <c r="D22" s="1242" t="s">
        <v>189</v>
      </c>
      <c r="E22" s="1243">
        <f t="shared" si="11"/>
        <v>80</v>
      </c>
      <c r="F22" s="875">
        <f t="shared" ca="1" si="0"/>
        <v>1573.47</v>
      </c>
      <c r="G22" s="876">
        <v>1573.48</v>
      </c>
      <c r="H22" s="877">
        <f t="shared" ca="1" si="1"/>
        <v>-6.3553397564576E-6</v>
      </c>
      <c r="I22" s="875">
        <v>1958.4729333416387</v>
      </c>
      <c r="J22" s="876">
        <v>1958.4729333416387</v>
      </c>
      <c r="K22" s="877">
        <f t="shared" si="2"/>
        <v>0</v>
      </c>
      <c r="L22" s="875">
        <v>0</v>
      </c>
      <c r="M22" s="876">
        <v>0</v>
      </c>
      <c r="N22" s="877">
        <v>0</v>
      </c>
      <c r="O22" s="875">
        <f t="shared" ca="1" si="3"/>
        <v>3531.9429333416388</v>
      </c>
      <c r="P22" s="876">
        <f t="shared" si="4"/>
        <v>3531.9529333416385</v>
      </c>
      <c r="Q22" s="877">
        <f t="shared" ca="1" si="5"/>
        <v>-2.8312948072901886E-6</v>
      </c>
      <c r="R22" s="1244">
        <v>4</v>
      </c>
      <c r="S22" s="1245"/>
      <c r="T22" s="1246">
        <v>17.54</v>
      </c>
      <c r="U22" s="71">
        <f t="shared" si="8"/>
        <v>320</v>
      </c>
      <c r="V22" s="1247">
        <f t="shared" ref="V22:V26" si="14">(U22/SUM(U$22:U$26))*T$22/T$53</f>
        <v>3.1979064914092166E-3</v>
      </c>
      <c r="W22" s="236">
        <f t="shared" ref="W22:W26" si="15">T$22*(U22/SUM(U$22:U$26))/R22</f>
        <v>0.34366887092823906</v>
      </c>
      <c r="X22" s="236"/>
      <c r="Y22" s="1248"/>
      <c r="Z22" s="1249"/>
      <c r="AA22" s="1250">
        <f t="shared" ca="1" si="6"/>
        <v>6293.8950225315848</v>
      </c>
      <c r="AB22" s="1251">
        <f t="shared" si="7"/>
        <v>7833.8917333665549</v>
      </c>
      <c r="AC22" s="1178"/>
      <c r="AD22" s="1176"/>
      <c r="AE22" s="68"/>
      <c r="AF22" s="1177"/>
    </row>
    <row r="23" spans="3:32" ht="15" customHeight="1">
      <c r="C23" s="882"/>
      <c r="D23" s="1253" t="s">
        <v>189</v>
      </c>
      <c r="E23" s="1224">
        <f t="shared" si="11"/>
        <v>65</v>
      </c>
      <c r="F23" s="884">
        <f t="shared" ca="1" si="0"/>
        <v>1278.45</v>
      </c>
      <c r="G23" s="885">
        <v>1278.45</v>
      </c>
      <c r="H23" s="886">
        <f t="shared" ca="1" si="1"/>
        <v>0</v>
      </c>
      <c r="I23" s="884">
        <v>1591.2581603148537</v>
      </c>
      <c r="J23" s="885">
        <v>1591.2581603148537</v>
      </c>
      <c r="K23" s="886">
        <f t="shared" si="2"/>
        <v>0</v>
      </c>
      <c r="L23" s="884">
        <v>0</v>
      </c>
      <c r="M23" s="885">
        <v>0</v>
      </c>
      <c r="N23" s="886">
        <v>0</v>
      </c>
      <c r="O23" s="884">
        <f t="shared" ca="1" si="3"/>
        <v>2869.7081603148536</v>
      </c>
      <c r="P23" s="885">
        <f t="shared" si="4"/>
        <v>2869.7081603148536</v>
      </c>
      <c r="Q23" s="886">
        <f t="shared" ca="1" si="5"/>
        <v>0</v>
      </c>
      <c r="R23" s="1254">
        <v>14</v>
      </c>
      <c r="S23" s="1255"/>
      <c r="T23" s="1246"/>
      <c r="U23" s="71">
        <f t="shared" si="8"/>
        <v>910</v>
      </c>
      <c r="V23" s="1247">
        <f t="shared" si="14"/>
        <v>9.0940465849449585E-3</v>
      </c>
      <c r="W23" s="236">
        <f t="shared" si="15"/>
        <v>0.2792309576291942</v>
      </c>
      <c r="X23" s="236"/>
      <c r="Y23" s="1248"/>
      <c r="Z23" s="1249"/>
      <c r="AA23" s="1250">
        <f t="shared" ca="1" si="6"/>
        <v>17898.263970324195</v>
      </c>
      <c r="AB23" s="1251">
        <f t="shared" si="7"/>
        <v>22277.614244407952</v>
      </c>
      <c r="AC23" s="1178"/>
      <c r="AD23" s="1176"/>
      <c r="AE23" s="68"/>
      <c r="AF23" s="1177"/>
    </row>
    <row r="24" spans="3:32" ht="15" customHeight="1">
      <c r="C24" s="882"/>
      <c r="D24" s="1253" t="s">
        <v>189</v>
      </c>
      <c r="E24" s="1224">
        <f t="shared" si="11"/>
        <v>52</v>
      </c>
      <c r="F24" s="884">
        <f t="shared" ca="1" si="0"/>
        <v>1022.76</v>
      </c>
      <c r="G24" s="885">
        <v>1022.76</v>
      </c>
      <c r="H24" s="886">
        <f t="shared" ca="1" si="1"/>
        <v>0</v>
      </c>
      <c r="I24" s="884">
        <v>1273.0065282518831</v>
      </c>
      <c r="J24" s="885">
        <v>1273.0065282518831</v>
      </c>
      <c r="K24" s="886">
        <f t="shared" si="2"/>
        <v>0</v>
      </c>
      <c r="L24" s="884">
        <v>0</v>
      </c>
      <c r="M24" s="885">
        <v>0</v>
      </c>
      <c r="N24" s="886">
        <v>0</v>
      </c>
      <c r="O24" s="884">
        <f t="shared" ca="1" si="3"/>
        <v>2295.7665282518828</v>
      </c>
      <c r="P24" s="885">
        <f t="shared" si="4"/>
        <v>2295.7665282518828</v>
      </c>
      <c r="Q24" s="886">
        <f t="shared" ca="1" si="5"/>
        <v>0</v>
      </c>
      <c r="R24" s="1254">
        <v>13</v>
      </c>
      <c r="S24" s="1255"/>
      <c r="T24" s="1246"/>
      <c r="U24" s="71">
        <f t="shared" si="8"/>
        <v>676</v>
      </c>
      <c r="V24" s="1247">
        <f t="shared" si="14"/>
        <v>6.7555774631019687E-3</v>
      </c>
      <c r="W24" s="236">
        <f t="shared" si="15"/>
        <v>0.22338476610335536</v>
      </c>
      <c r="X24" s="236"/>
      <c r="Y24" s="1248"/>
      <c r="Z24" s="1249"/>
      <c r="AA24" s="1250">
        <f t="shared" ca="1" si="6"/>
        <v>13295.853235097971</v>
      </c>
      <c r="AB24" s="1251">
        <f t="shared" si="7"/>
        <v>16549.08486727448</v>
      </c>
      <c r="AC24" s="1178"/>
      <c r="AD24" s="1176"/>
      <c r="AE24" s="68"/>
      <c r="AF24" s="1177"/>
    </row>
    <row r="25" spans="3:32" ht="15" customHeight="1">
      <c r="C25" s="882"/>
      <c r="D25" s="1253" t="s">
        <v>189</v>
      </c>
      <c r="E25" s="1224">
        <f t="shared" si="11"/>
        <v>42</v>
      </c>
      <c r="F25" s="884">
        <f t="shared" ca="1" si="0"/>
        <v>826.07</v>
      </c>
      <c r="G25" s="885">
        <v>826.08</v>
      </c>
      <c r="H25" s="886">
        <f t="shared" ca="1" si="1"/>
        <v>-1.210536509780034E-5</v>
      </c>
      <c r="I25" s="884">
        <v>1028.1996076346338</v>
      </c>
      <c r="J25" s="885">
        <v>1028.1996076346338</v>
      </c>
      <c r="K25" s="886">
        <f t="shared" si="2"/>
        <v>0</v>
      </c>
      <c r="L25" s="884">
        <v>0</v>
      </c>
      <c r="M25" s="885">
        <v>0</v>
      </c>
      <c r="N25" s="886">
        <v>0</v>
      </c>
      <c r="O25" s="884">
        <f t="shared" ca="1" si="3"/>
        <v>1854.2696076346338</v>
      </c>
      <c r="P25" s="885">
        <f t="shared" si="4"/>
        <v>1854.279607634634</v>
      </c>
      <c r="Q25" s="886">
        <f t="shared" ca="1" si="5"/>
        <v>-5.3929299330291038E-6</v>
      </c>
      <c r="R25" s="1254">
        <v>31</v>
      </c>
      <c r="S25" s="1255"/>
      <c r="T25" s="1246"/>
      <c r="U25" s="71">
        <f t="shared" si="8"/>
        <v>1302</v>
      </c>
      <c r="V25" s="1247">
        <f t="shared" si="14"/>
        <v>1.3011482036921247E-2</v>
      </c>
      <c r="W25" s="236">
        <f t="shared" si="15"/>
        <v>0.18042615723732547</v>
      </c>
      <c r="X25" s="236"/>
      <c r="Y25" s="1248">
        <v>1</v>
      </c>
      <c r="Z25" s="1249"/>
      <c r="AA25" s="1250">
        <f t="shared" ca="1" si="6"/>
        <v>25608.28537292538</v>
      </c>
      <c r="AB25" s="1251">
        <f t="shared" si="7"/>
        <v>30845.988229039016</v>
      </c>
      <c r="AC25" s="1178"/>
      <c r="AD25" s="1176"/>
      <c r="AE25" s="68"/>
      <c r="AF25" s="1177"/>
    </row>
    <row r="26" spans="3:32" ht="15" customHeight="1">
      <c r="C26" s="882"/>
      <c r="D26" s="1253" t="s">
        <v>189</v>
      </c>
      <c r="E26" s="1224">
        <f t="shared" si="11"/>
        <v>35</v>
      </c>
      <c r="F26" s="884">
        <f t="shared" ca="1" si="0"/>
        <v>688.39</v>
      </c>
      <c r="G26" s="885">
        <v>688.4</v>
      </c>
      <c r="H26" s="886">
        <f t="shared" ca="1" si="1"/>
        <v>-1.4526438117360409E-5</v>
      </c>
      <c r="I26" s="884">
        <v>856.82861426128318</v>
      </c>
      <c r="J26" s="885">
        <v>856.82861426128318</v>
      </c>
      <c r="K26" s="886">
        <f t="shared" si="2"/>
        <v>0</v>
      </c>
      <c r="L26" s="884">
        <v>0</v>
      </c>
      <c r="M26" s="885">
        <v>0</v>
      </c>
      <c r="N26" s="886">
        <v>0</v>
      </c>
      <c r="O26" s="884">
        <f t="shared" ca="1" si="3"/>
        <v>1545.2186142612832</v>
      </c>
      <c r="P26" s="885">
        <f t="shared" si="4"/>
        <v>1545.2286142612832</v>
      </c>
      <c r="Q26" s="886">
        <f t="shared" ca="1" si="5"/>
        <v>-6.4715343138863218E-6</v>
      </c>
      <c r="R26" s="1254">
        <v>25</v>
      </c>
      <c r="S26" s="1255"/>
      <c r="T26" s="1246"/>
      <c r="U26" s="71">
        <f t="shared" si="8"/>
        <v>875</v>
      </c>
      <c r="V26" s="1247">
        <f t="shared" si="14"/>
        <v>8.7442755624470743E-3</v>
      </c>
      <c r="W26" s="236">
        <f t="shared" si="15"/>
        <v>0.15035513103110457</v>
      </c>
      <c r="X26" s="236"/>
      <c r="Y26" s="1248">
        <v>1</v>
      </c>
      <c r="Z26" s="1249"/>
      <c r="AA26" s="1250">
        <f t="shared" ca="1" si="6"/>
        <v>17209.8692022348</v>
      </c>
      <c r="AB26" s="1251">
        <f t="shared" si="7"/>
        <v>20563.886742270795</v>
      </c>
      <c r="AC26" s="1178"/>
      <c r="AD26" s="1176"/>
      <c r="AE26" s="68"/>
      <c r="AF26" s="1177"/>
    </row>
    <row r="27" spans="3:32" ht="15" customHeight="1">
      <c r="C27" s="871" t="s">
        <v>196</v>
      </c>
      <c r="D27" s="1242" t="s">
        <v>189</v>
      </c>
      <c r="E27" s="1243">
        <f t="shared" si="11"/>
        <v>80</v>
      </c>
      <c r="F27" s="875">
        <f t="shared" ca="1" si="0"/>
        <v>1625.63</v>
      </c>
      <c r="G27" s="876">
        <v>1625.63</v>
      </c>
      <c r="H27" s="877">
        <f t="shared" ca="1" si="1"/>
        <v>0</v>
      </c>
      <c r="I27" s="875">
        <v>2023.3881848168073</v>
      </c>
      <c r="J27" s="876">
        <v>2023.3881848168073</v>
      </c>
      <c r="K27" s="877">
        <f t="shared" si="2"/>
        <v>0</v>
      </c>
      <c r="L27" s="875">
        <v>0</v>
      </c>
      <c r="M27" s="876">
        <v>0</v>
      </c>
      <c r="N27" s="877">
        <v>0</v>
      </c>
      <c r="O27" s="875">
        <f t="shared" ca="1" si="3"/>
        <v>3649.0181848168077</v>
      </c>
      <c r="P27" s="876">
        <f t="shared" si="4"/>
        <v>3649.0181848168077</v>
      </c>
      <c r="Q27" s="877">
        <f t="shared" ca="1" si="5"/>
        <v>0</v>
      </c>
      <c r="R27" s="1244">
        <v>9</v>
      </c>
      <c r="S27" s="1245"/>
      <c r="T27" s="1246">
        <v>10.35</v>
      </c>
      <c r="U27" s="71">
        <f t="shared" si="8"/>
        <v>720</v>
      </c>
      <c r="V27" s="1247">
        <f t="shared" ref="V27:V29" si="16">(U27/SUM(U$27:U$29))*T$27/T$53</f>
        <v>7.4337828949296962E-3</v>
      </c>
      <c r="W27" s="236">
        <f t="shared" ref="W27:W29" si="17">T$27*(U27/SUM(U$27:U$29))/R27</f>
        <v>0.35506003430531735</v>
      </c>
      <c r="X27" s="236"/>
      <c r="Y27" s="1248">
        <v>1</v>
      </c>
      <c r="Z27" s="1249"/>
      <c r="AA27" s="1250">
        <f t="shared" ca="1" si="6"/>
        <v>14630.649547342049</v>
      </c>
      <c r="AB27" s="1251">
        <f t="shared" si="7"/>
        <v>16187.105478534459</v>
      </c>
      <c r="AC27" s="1178"/>
      <c r="AD27" s="1176"/>
      <c r="AE27" s="68"/>
      <c r="AF27" s="1177"/>
    </row>
    <row r="28" spans="3:32" ht="15" customHeight="1">
      <c r="C28" s="882"/>
      <c r="D28" s="1253" t="s">
        <v>189</v>
      </c>
      <c r="E28" s="1224">
        <f t="shared" si="11"/>
        <v>65</v>
      </c>
      <c r="F28" s="884">
        <f t="shared" ca="1" si="0"/>
        <v>1320.82</v>
      </c>
      <c r="G28" s="885">
        <v>1320.82</v>
      </c>
      <c r="H28" s="886">
        <f t="shared" ca="1" si="1"/>
        <v>0</v>
      </c>
      <c r="I28" s="884">
        <v>1643.9985080627441</v>
      </c>
      <c r="J28" s="885">
        <v>1643.9985080627441</v>
      </c>
      <c r="K28" s="886">
        <f t="shared" si="2"/>
        <v>0</v>
      </c>
      <c r="L28" s="884">
        <v>0</v>
      </c>
      <c r="M28" s="885">
        <v>0</v>
      </c>
      <c r="N28" s="886">
        <v>0</v>
      </c>
      <c r="O28" s="884">
        <f t="shared" ca="1" si="3"/>
        <v>2964.8185080627441</v>
      </c>
      <c r="P28" s="885">
        <f t="shared" si="4"/>
        <v>2964.8185080627441</v>
      </c>
      <c r="Q28" s="886">
        <f t="shared" ca="1" si="5"/>
        <v>0</v>
      </c>
      <c r="R28" s="1254">
        <v>20</v>
      </c>
      <c r="S28" s="1255"/>
      <c r="T28" s="1246"/>
      <c r="U28" s="71">
        <f t="shared" si="8"/>
        <v>1300</v>
      </c>
      <c r="V28" s="1247">
        <f t="shared" si="16"/>
        <v>1.3422108004734173E-2</v>
      </c>
      <c r="W28" s="236">
        <f t="shared" si="17"/>
        <v>0.2884862778730703</v>
      </c>
      <c r="X28" s="236"/>
      <c r="Y28" s="1248"/>
      <c r="Z28" s="1249"/>
      <c r="AA28" s="1250">
        <f t="shared" ca="1" si="6"/>
        <v>26416.450571589812</v>
      </c>
      <c r="AB28" s="1251">
        <f t="shared" si="7"/>
        <v>32879.970161254882</v>
      </c>
      <c r="AC28" s="1178"/>
      <c r="AD28" s="1176"/>
      <c r="AE28" s="68"/>
      <c r="AF28" s="1177"/>
    </row>
    <row r="29" spans="3:32" ht="15" customHeight="1">
      <c r="C29" s="882"/>
      <c r="D29" s="1253" t="s">
        <v>189</v>
      </c>
      <c r="E29" s="1224">
        <f t="shared" si="11"/>
        <v>52</v>
      </c>
      <c r="F29" s="884">
        <f t="shared" ca="1" si="0"/>
        <v>1056.6600000000001</v>
      </c>
      <c r="G29" s="885">
        <v>1056.6600000000001</v>
      </c>
      <c r="H29" s="886">
        <f t="shared" ca="1" si="1"/>
        <v>0</v>
      </c>
      <c r="I29" s="884">
        <v>1315.1970496098306</v>
      </c>
      <c r="J29" s="885">
        <v>1315.1970496098306</v>
      </c>
      <c r="K29" s="886">
        <f t="shared" si="2"/>
        <v>0</v>
      </c>
      <c r="L29" s="884">
        <v>0</v>
      </c>
      <c r="M29" s="885">
        <v>0</v>
      </c>
      <c r="N29" s="886">
        <v>0</v>
      </c>
      <c r="O29" s="884">
        <f t="shared" ca="1" si="3"/>
        <v>2371.8570496098309</v>
      </c>
      <c r="P29" s="885">
        <f t="shared" si="4"/>
        <v>2371.8570496098309</v>
      </c>
      <c r="Q29" s="886">
        <f t="shared" ca="1" si="5"/>
        <v>0</v>
      </c>
      <c r="R29" s="1254">
        <v>6</v>
      </c>
      <c r="S29" s="1255"/>
      <c r="T29" s="1246"/>
      <c r="U29" s="71">
        <f t="shared" si="8"/>
        <v>312</v>
      </c>
      <c r="V29" s="1247">
        <f t="shared" si="16"/>
        <v>3.2213059211362014E-3</v>
      </c>
      <c r="W29" s="236">
        <f t="shared" si="17"/>
        <v>0.23078902229845624</v>
      </c>
      <c r="X29" s="236"/>
      <c r="Y29" s="1248"/>
      <c r="Z29" s="1249"/>
      <c r="AA29" s="1250">
        <f t="shared" ca="1" si="6"/>
        <v>6339.9481371815536</v>
      </c>
      <c r="AB29" s="1251">
        <f t="shared" si="7"/>
        <v>7891.1822976589838</v>
      </c>
      <c r="AC29" s="1178"/>
      <c r="AD29" s="1176"/>
      <c r="AE29" s="68"/>
      <c r="AF29" s="1177"/>
    </row>
    <row r="30" spans="3:32" ht="15" customHeight="1">
      <c r="C30" s="871" t="s">
        <v>197</v>
      </c>
      <c r="D30" s="1242" t="s">
        <v>189</v>
      </c>
      <c r="E30" s="1243" t="s">
        <v>187</v>
      </c>
      <c r="F30" s="875">
        <f t="shared" ca="1" si="0"/>
        <v>965.64</v>
      </c>
      <c r="G30" s="876">
        <v>965.64</v>
      </c>
      <c r="H30" s="877">
        <f t="shared" ca="1" si="1"/>
        <v>0</v>
      </c>
      <c r="I30" s="875">
        <v>1201.9071986930176</v>
      </c>
      <c r="J30" s="876">
        <v>1201.9071986930176</v>
      </c>
      <c r="K30" s="877">
        <f t="shared" si="2"/>
        <v>0</v>
      </c>
      <c r="L30" s="875">
        <v>0</v>
      </c>
      <c r="M30" s="876">
        <v>0</v>
      </c>
      <c r="N30" s="877">
        <v>0</v>
      </c>
      <c r="O30" s="875">
        <f t="shared" ca="1" si="3"/>
        <v>2167.5471986930174</v>
      </c>
      <c r="P30" s="876">
        <f t="shared" si="4"/>
        <v>2167.5471986930174</v>
      </c>
      <c r="Q30" s="877">
        <f t="shared" ca="1" si="5"/>
        <v>0</v>
      </c>
      <c r="R30" s="1244">
        <v>11</v>
      </c>
      <c r="S30" s="1245"/>
      <c r="T30" s="1246">
        <v>2.3199999999999998</v>
      </c>
      <c r="U30" s="71"/>
      <c r="V30" s="1247">
        <f t="shared" ref="V30:V31" si="18">T30/T$53</f>
        <v>5.3970141665947982E-3</v>
      </c>
      <c r="W30" s="236">
        <f t="shared" ref="W30:W31" si="19">T30/R30</f>
        <v>0.21090909090909091</v>
      </c>
      <c r="X30" s="236"/>
      <c r="Y30" s="1248"/>
      <c r="Z30" s="1249"/>
      <c r="AA30" s="1250">
        <f t="shared" ca="1" si="6"/>
        <v>10622.024343399333</v>
      </c>
      <c r="AB30" s="1251">
        <f t="shared" si="7"/>
        <v>13220.979185623193</v>
      </c>
      <c r="AC30" s="1178"/>
      <c r="AD30" s="1176"/>
      <c r="AE30" s="68"/>
      <c r="AF30" s="1177"/>
    </row>
    <row r="31" spans="3:32" ht="15" customHeight="1">
      <c r="C31" s="871" t="s">
        <v>191</v>
      </c>
      <c r="D31" s="1242" t="s">
        <v>189</v>
      </c>
      <c r="E31" s="1243" t="s">
        <v>187</v>
      </c>
      <c r="F31" s="875">
        <f t="shared" ca="1" si="0"/>
        <v>2576.5100000000002</v>
      </c>
      <c r="G31" s="876">
        <v>2576.5100000000002</v>
      </c>
      <c r="H31" s="877">
        <f t="shared" ca="1" si="1"/>
        <v>0</v>
      </c>
      <c r="I31" s="875">
        <v>3206.918833295204</v>
      </c>
      <c r="J31" s="876">
        <v>3206.918833295204</v>
      </c>
      <c r="K31" s="877">
        <f t="shared" si="2"/>
        <v>0</v>
      </c>
      <c r="L31" s="875">
        <v>0</v>
      </c>
      <c r="M31" s="876">
        <v>0</v>
      </c>
      <c r="N31" s="877">
        <v>0</v>
      </c>
      <c r="O31" s="875">
        <f t="shared" ca="1" si="3"/>
        <v>5783.4288332952037</v>
      </c>
      <c r="P31" s="876">
        <f t="shared" si="4"/>
        <v>5783.4288332952037</v>
      </c>
      <c r="Q31" s="877">
        <f t="shared" ca="1" si="5"/>
        <v>0</v>
      </c>
      <c r="R31" s="1244">
        <v>51</v>
      </c>
      <c r="S31" s="1245"/>
      <c r="T31" s="1246">
        <v>28.7</v>
      </c>
      <c r="U31" s="71"/>
      <c r="V31" s="1247">
        <f t="shared" si="18"/>
        <v>6.6764787319513241E-2</v>
      </c>
      <c r="W31" s="236">
        <f t="shared" si="19"/>
        <v>0.56274509803921569</v>
      </c>
      <c r="X31" s="236"/>
      <c r="Y31" s="1248">
        <v>5</v>
      </c>
      <c r="Z31" s="1249"/>
      <c r="AA31" s="1250">
        <f t="shared" ca="1" si="6"/>
        <v>131401.76666187972</v>
      </c>
      <c r="AB31" s="1251">
        <f t="shared" si="7"/>
        <v>147518.26633157939</v>
      </c>
      <c r="AC31" s="1178"/>
      <c r="AD31" s="1176"/>
      <c r="AE31" s="68"/>
      <c r="AF31" s="1177"/>
    </row>
    <row r="32" spans="3:32" ht="15" customHeight="1">
      <c r="C32" s="871" t="s">
        <v>192</v>
      </c>
      <c r="D32" s="1242" t="s">
        <v>189</v>
      </c>
      <c r="E32" s="1243">
        <f t="shared" ref="E32:E34" si="20">E19</f>
        <v>52</v>
      </c>
      <c r="F32" s="875">
        <f t="shared" ca="1" si="0"/>
        <v>1163.1199999999999</v>
      </c>
      <c r="G32" s="876">
        <v>1163.1199999999999</v>
      </c>
      <c r="H32" s="877">
        <f t="shared" ca="1" si="1"/>
        <v>0</v>
      </c>
      <c r="I32" s="875">
        <v>1447.7067341163147</v>
      </c>
      <c r="J32" s="876">
        <v>1447.7067341163147</v>
      </c>
      <c r="K32" s="877">
        <f t="shared" si="2"/>
        <v>0</v>
      </c>
      <c r="L32" s="875">
        <v>0</v>
      </c>
      <c r="M32" s="876">
        <v>0</v>
      </c>
      <c r="N32" s="877">
        <v>0</v>
      </c>
      <c r="O32" s="875">
        <f t="shared" ca="1" si="3"/>
        <v>2610.8267341163146</v>
      </c>
      <c r="P32" s="876">
        <f t="shared" si="4"/>
        <v>2610.8267341163146</v>
      </c>
      <c r="Q32" s="877">
        <f t="shared" ca="1" si="5"/>
        <v>0</v>
      </c>
      <c r="R32" s="1244">
        <v>62</v>
      </c>
      <c r="S32" s="1245"/>
      <c r="T32" s="1246">
        <v>39.86</v>
      </c>
      <c r="U32" s="71">
        <f t="shared" ref="U32:U38" si="21">+E32*R32</f>
        <v>3224</v>
      </c>
      <c r="V32" s="1247">
        <f t="shared" ref="V32:V34" si="22">(U32/SUM(U$32:U$34))*T$32/T$53</f>
        <v>3.6640464232951503E-2</v>
      </c>
      <c r="W32" s="236">
        <f t="shared" ref="W32:W34" si="23">T$32*(U32/SUM(U$32:U$34))/R32</f>
        <v>0.25404093638926339</v>
      </c>
      <c r="X32" s="236"/>
      <c r="Y32" s="1248">
        <v>2</v>
      </c>
      <c r="Z32" s="1249"/>
      <c r="AA32" s="1250">
        <f t="shared" ca="1" si="6"/>
        <v>72113.189074955386</v>
      </c>
      <c r="AB32" s="1251">
        <f t="shared" si="7"/>
        <v>86862.404046978889</v>
      </c>
      <c r="AC32" s="1178"/>
      <c r="AD32" s="1176"/>
      <c r="AE32" s="68"/>
      <c r="AF32" s="1177"/>
    </row>
    <row r="33" spans="3:32" ht="15" customHeight="1">
      <c r="C33" s="882"/>
      <c r="D33" s="1253" t="s">
        <v>189</v>
      </c>
      <c r="E33" s="1224">
        <f t="shared" si="20"/>
        <v>42</v>
      </c>
      <c r="F33" s="884">
        <f t="shared" ca="1" si="0"/>
        <v>939.44</v>
      </c>
      <c r="G33" s="885">
        <v>939.44</v>
      </c>
      <c r="H33" s="886">
        <f t="shared" ca="1" si="1"/>
        <v>0</v>
      </c>
      <c r="I33" s="884">
        <v>1169.3002415244353</v>
      </c>
      <c r="J33" s="885">
        <v>1169.3002415244353</v>
      </c>
      <c r="K33" s="886">
        <f t="shared" si="2"/>
        <v>0</v>
      </c>
      <c r="L33" s="884">
        <v>0</v>
      </c>
      <c r="M33" s="885">
        <v>0</v>
      </c>
      <c r="N33" s="886">
        <v>0</v>
      </c>
      <c r="O33" s="884">
        <f t="shared" ca="1" si="3"/>
        <v>2108.7402415244351</v>
      </c>
      <c r="P33" s="885">
        <f t="shared" si="4"/>
        <v>2108.7402415244351</v>
      </c>
      <c r="Q33" s="886">
        <f t="shared" ca="1" si="5"/>
        <v>0</v>
      </c>
      <c r="R33" s="1254">
        <v>85</v>
      </c>
      <c r="S33" s="1255"/>
      <c r="T33" s="1246"/>
      <c r="U33" s="71">
        <f t="shared" si="21"/>
        <v>3570</v>
      </c>
      <c r="V33" s="1247">
        <f t="shared" si="22"/>
        <v>4.0572722491202494E-2</v>
      </c>
      <c r="W33" s="236">
        <f t="shared" si="23"/>
        <v>0.20518691016055887</v>
      </c>
      <c r="X33" s="236"/>
      <c r="Y33" s="1248">
        <v>1</v>
      </c>
      <c r="Z33" s="1249"/>
      <c r="AA33" s="1250">
        <f t="shared" ca="1" si="6"/>
        <v>79852.383684116227</v>
      </c>
      <c r="AB33" s="1251">
        <f t="shared" si="7"/>
        <v>98221.220288052558</v>
      </c>
      <c r="AC33" s="1178"/>
      <c r="AD33" s="1176"/>
      <c r="AE33" s="68"/>
      <c r="AF33" s="1177"/>
    </row>
    <row r="34" spans="3:32" ht="15" customHeight="1">
      <c r="C34" s="882"/>
      <c r="D34" s="1253" t="s">
        <v>189</v>
      </c>
      <c r="E34" s="1224">
        <f t="shared" si="20"/>
        <v>35</v>
      </c>
      <c r="F34" s="884">
        <f t="shared" ca="1" si="0"/>
        <v>782.87</v>
      </c>
      <c r="G34" s="885">
        <v>782.87</v>
      </c>
      <c r="H34" s="886">
        <f t="shared" ca="1" si="1"/>
        <v>0</v>
      </c>
      <c r="I34" s="884">
        <v>974.41393986975481</v>
      </c>
      <c r="J34" s="885">
        <v>974.41393986975481</v>
      </c>
      <c r="K34" s="886">
        <f t="shared" si="2"/>
        <v>0</v>
      </c>
      <c r="L34" s="884">
        <v>0</v>
      </c>
      <c r="M34" s="885">
        <v>0</v>
      </c>
      <c r="N34" s="886">
        <v>0</v>
      </c>
      <c r="O34" s="884">
        <f t="shared" ca="1" si="3"/>
        <v>1757.2839398697547</v>
      </c>
      <c r="P34" s="885">
        <f t="shared" si="4"/>
        <v>1757.2839398697547</v>
      </c>
      <c r="Q34" s="886">
        <f t="shared" ca="1" si="5"/>
        <v>0</v>
      </c>
      <c r="R34" s="1254">
        <v>39</v>
      </c>
      <c r="S34" s="1255"/>
      <c r="T34" s="1246"/>
      <c r="U34" s="71">
        <f t="shared" si="21"/>
        <v>1365</v>
      </c>
      <c r="V34" s="1247">
        <f t="shared" si="22"/>
        <v>1.5513099776048013E-2</v>
      </c>
      <c r="W34" s="236">
        <f t="shared" si="23"/>
        <v>0.17098909180046573</v>
      </c>
      <c r="X34" s="236"/>
      <c r="Y34" s="1248">
        <v>3</v>
      </c>
      <c r="Z34" s="1249"/>
      <c r="AA34" s="1250">
        <f t="shared" ca="1" si="6"/>
        <v>30531.793761573848</v>
      </c>
      <c r="AB34" s="1251">
        <f t="shared" si="7"/>
        <v>35078.901835311175</v>
      </c>
      <c r="AC34" s="1178"/>
      <c r="AD34" s="1176"/>
      <c r="AE34" s="68"/>
      <c r="AF34" s="1177"/>
    </row>
    <row r="35" spans="3:32" ht="15" customHeight="1">
      <c r="C35" s="1256" t="s">
        <v>199</v>
      </c>
      <c r="D35" s="1242" t="s">
        <v>189</v>
      </c>
      <c r="E35" s="1243">
        <v>35</v>
      </c>
      <c r="F35" s="875">
        <f t="shared" ref="F35:F39" ca="1" si="24">AA35/R35</f>
        <v>875.00799931335177</v>
      </c>
      <c r="G35" s="876">
        <v>875.00963262237906</v>
      </c>
      <c r="H35" s="877">
        <f t="shared" ca="1" si="1"/>
        <v>-1.8666183392619087E-6</v>
      </c>
      <c r="I35" s="875">
        <v>1073.5411223447586</v>
      </c>
      <c r="J35" s="876">
        <v>1073.5411223447586</v>
      </c>
      <c r="K35" s="877">
        <f t="shared" si="2"/>
        <v>0</v>
      </c>
      <c r="L35" s="875">
        <v>0</v>
      </c>
      <c r="M35" s="876">
        <v>0</v>
      </c>
      <c r="N35" s="877">
        <v>0</v>
      </c>
      <c r="O35" s="875">
        <f t="shared" ca="1" si="3"/>
        <v>1948.5491216581104</v>
      </c>
      <c r="P35" s="876">
        <f t="shared" si="4"/>
        <v>1948.5507549671377</v>
      </c>
      <c r="Q35" s="877">
        <f t="shared" ca="1" si="5"/>
        <v>-8.3821733825522233E-7</v>
      </c>
      <c r="R35" s="1244">
        <v>39</v>
      </c>
      <c r="S35" s="1245"/>
      <c r="T35" s="1252">
        <v>20.339999999999996</v>
      </c>
      <c r="U35" s="71">
        <f t="shared" si="21"/>
        <v>1365</v>
      </c>
      <c r="V35" s="1247">
        <f t="shared" ref="V35:V38" si="25">(U35/SUM(U$35:U$38))*T$35/T$53</f>
        <v>1.7338954064192853E-2</v>
      </c>
      <c r="W35" s="236">
        <f t="shared" ref="W35:W38" si="26">T$35*(U35/SUM(U$35:U$38))/R35</f>
        <v>0.19111409395973153</v>
      </c>
      <c r="X35" s="236"/>
      <c r="Y35" s="1241"/>
      <c r="Z35" s="235"/>
      <c r="AA35" s="1250">
        <f t="shared" ca="1" si="6"/>
        <v>34125.31197322072</v>
      </c>
      <c r="AB35" s="1251">
        <f t="shared" si="7"/>
        <v>41868.103771445589</v>
      </c>
      <c r="AC35" s="1179"/>
      <c r="AD35" s="1257"/>
      <c r="AE35" s="68"/>
      <c r="AF35" s="1177"/>
    </row>
    <row r="36" spans="3:32" ht="15" customHeight="1">
      <c r="C36" s="1258"/>
      <c r="D36" s="1253" t="s">
        <v>189</v>
      </c>
      <c r="E36" s="1224">
        <v>40</v>
      </c>
      <c r="F36" s="884">
        <f t="shared" ca="1" si="24"/>
        <v>1000.009142072402</v>
      </c>
      <c r="G36" s="885">
        <v>1000.0110087112902</v>
      </c>
      <c r="H36" s="886">
        <f t="shared" ca="1" si="1"/>
        <v>-1.8666183390832604E-6</v>
      </c>
      <c r="I36" s="884">
        <v>1288.2492543916665</v>
      </c>
      <c r="J36" s="885">
        <v>1288.2492543916665</v>
      </c>
      <c r="K36" s="886">
        <f t="shared" si="2"/>
        <v>0</v>
      </c>
      <c r="L36" s="884">
        <v>0</v>
      </c>
      <c r="M36" s="885">
        <v>0</v>
      </c>
      <c r="N36" s="886">
        <v>0</v>
      </c>
      <c r="O36" s="884">
        <f t="shared" ca="1" si="3"/>
        <v>2288.2583964640685</v>
      </c>
      <c r="P36" s="885">
        <f t="shared" si="4"/>
        <v>2288.2602631029567</v>
      </c>
      <c r="Q36" s="886">
        <f t="shared" ca="1" si="5"/>
        <v>-8.1574588273805303E-7</v>
      </c>
      <c r="R36" s="1254">
        <v>14</v>
      </c>
      <c r="S36" s="1255"/>
      <c r="T36" s="1252"/>
      <c r="U36" s="71">
        <f t="shared" si="21"/>
        <v>560</v>
      </c>
      <c r="V36" s="1247">
        <f t="shared" si="25"/>
        <v>7.1134170519765545E-3</v>
      </c>
      <c r="W36" s="236">
        <f t="shared" si="26"/>
        <v>0.2184161073825503</v>
      </c>
      <c r="X36" s="236"/>
      <c r="Y36" s="1241"/>
      <c r="Z36" s="235"/>
      <c r="AA36" s="1250">
        <f t="shared" ca="1" si="6"/>
        <v>14000.127989013628</v>
      </c>
      <c r="AB36" s="1251">
        <f t="shared" si="7"/>
        <v>18035.489561483329</v>
      </c>
      <c r="AC36" s="1179"/>
      <c r="AD36" s="1176"/>
      <c r="AE36" s="68"/>
      <c r="AF36" s="1177"/>
    </row>
    <row r="37" spans="3:32" ht="15" customHeight="1">
      <c r="C37" s="1258"/>
      <c r="D37" s="1253" t="s">
        <v>189</v>
      </c>
      <c r="E37" s="1224">
        <v>50</v>
      </c>
      <c r="F37" s="884">
        <f t="shared" ca="1" si="24"/>
        <v>1250.0114275905023</v>
      </c>
      <c r="G37" s="885">
        <v>1250.013760889113</v>
      </c>
      <c r="H37" s="886">
        <f t="shared" ca="1" si="1"/>
        <v>-1.8666183394697909E-6</v>
      </c>
      <c r="I37" s="884">
        <v>1594.9752722321182</v>
      </c>
      <c r="J37" s="885">
        <v>1594.9752722321182</v>
      </c>
      <c r="K37" s="886">
        <f t="shared" si="2"/>
        <v>0</v>
      </c>
      <c r="L37" s="884">
        <v>0</v>
      </c>
      <c r="M37" s="885">
        <v>0</v>
      </c>
      <c r="N37" s="886">
        <v>0</v>
      </c>
      <c r="O37" s="884">
        <f t="shared" ca="1" si="3"/>
        <v>2844.9866998226207</v>
      </c>
      <c r="P37" s="885">
        <f t="shared" si="4"/>
        <v>2844.9890331212309</v>
      </c>
      <c r="Q37" s="886">
        <f t="shared" ca="1" si="5"/>
        <v>-8.2014327051750371E-7</v>
      </c>
      <c r="R37" s="1254">
        <v>13</v>
      </c>
      <c r="S37" s="1255"/>
      <c r="T37" s="1252"/>
      <c r="U37" s="71">
        <f t="shared" si="21"/>
        <v>650</v>
      </c>
      <c r="V37" s="1247">
        <f t="shared" si="25"/>
        <v>8.2566447924727858E-3</v>
      </c>
      <c r="W37" s="236">
        <f t="shared" si="26"/>
        <v>0.27302013422818788</v>
      </c>
      <c r="X37" s="236"/>
      <c r="Y37" s="1241"/>
      <c r="Z37" s="235"/>
      <c r="AA37" s="1250">
        <f t="shared" ca="1" si="6"/>
        <v>16250.14855867653</v>
      </c>
      <c r="AB37" s="1251">
        <f t="shared" si="7"/>
        <v>20734.678539017536</v>
      </c>
      <c r="AC37" s="1179"/>
      <c r="AD37" s="1176"/>
      <c r="AE37" s="68"/>
      <c r="AF37" s="1177"/>
    </row>
    <row r="38" spans="3:32" ht="15" customHeight="1">
      <c r="C38" s="1258"/>
      <c r="D38" s="1253" t="s">
        <v>200</v>
      </c>
      <c r="E38" s="1224">
        <v>25</v>
      </c>
      <c r="F38" s="884">
        <f t="shared" ca="1" si="24"/>
        <v>625.00571379525115</v>
      </c>
      <c r="G38" s="885">
        <v>625.00688044455649</v>
      </c>
      <c r="H38" s="886">
        <f t="shared" ca="1" si="1"/>
        <v>-1.8666183394697909E-6</v>
      </c>
      <c r="I38" s="884">
        <v>766.81511045741718</v>
      </c>
      <c r="J38" s="885">
        <v>766.81511045741718</v>
      </c>
      <c r="K38" s="886">
        <f t="shared" si="2"/>
        <v>0</v>
      </c>
      <c r="L38" s="884">
        <v>0</v>
      </c>
      <c r="M38" s="885">
        <v>0</v>
      </c>
      <c r="N38" s="886">
        <v>0</v>
      </c>
      <c r="O38" s="884">
        <f t="shared" ca="1" si="3"/>
        <v>1391.8208242526684</v>
      </c>
      <c r="P38" s="885">
        <f t="shared" si="4"/>
        <v>1391.8219909019735</v>
      </c>
      <c r="Q38" s="886">
        <f t="shared" ca="1" si="5"/>
        <v>-8.3821732429244673E-7</v>
      </c>
      <c r="R38" s="1254">
        <v>46</v>
      </c>
      <c r="S38" s="1255"/>
      <c r="T38" s="1252"/>
      <c r="U38" s="71">
        <f t="shared" si="21"/>
        <v>1150</v>
      </c>
      <c r="V38" s="1247">
        <f t="shared" si="25"/>
        <v>1.4607910017451852E-2</v>
      </c>
      <c r="W38" s="236">
        <f t="shared" si="26"/>
        <v>0.13651006711409394</v>
      </c>
      <c r="X38" s="236"/>
      <c r="Y38" s="1241"/>
      <c r="Z38" s="235"/>
      <c r="AA38" s="1250">
        <f t="shared" ca="1" si="6"/>
        <v>28750.262834581554</v>
      </c>
      <c r="AB38" s="1251">
        <f t="shared" si="7"/>
        <v>35273.49508104119</v>
      </c>
      <c r="AC38" s="1179"/>
      <c r="AD38" s="1176"/>
      <c r="AE38" s="68"/>
      <c r="AF38" s="1177"/>
    </row>
    <row r="39" spans="3:32" ht="15" customHeight="1">
      <c r="C39" s="1259" t="s">
        <v>202</v>
      </c>
      <c r="D39" s="1260"/>
      <c r="E39" s="1261">
        <v>50</v>
      </c>
      <c r="F39" s="903">
        <f t="shared" ca="1" si="24"/>
        <v>1271.9181798919096</v>
      </c>
      <c r="G39" s="904">
        <v>0</v>
      </c>
      <c r="H39" s="905" t="s">
        <v>203</v>
      </c>
      <c r="I39" s="903">
        <v>1592.8886222106896</v>
      </c>
      <c r="J39" s="904">
        <v>0</v>
      </c>
      <c r="K39" s="905" t="s">
        <v>203</v>
      </c>
      <c r="L39" s="903">
        <v>0</v>
      </c>
      <c r="M39" s="904">
        <v>0</v>
      </c>
      <c r="N39" s="905">
        <v>0</v>
      </c>
      <c r="O39" s="903">
        <f t="shared" ca="1" si="3"/>
        <v>2864.8068021025992</v>
      </c>
      <c r="P39" s="904">
        <f t="shared" si="4"/>
        <v>0</v>
      </c>
      <c r="Q39" s="905" t="s">
        <v>203</v>
      </c>
      <c r="R39" s="1262">
        <f>40+66</f>
        <v>106</v>
      </c>
      <c r="S39" s="1263" t="s">
        <v>7899</v>
      </c>
      <c r="T39" s="1264">
        <f>N68*(66+40)</f>
        <v>29.447317073170733</v>
      </c>
      <c r="U39" s="1265"/>
      <c r="V39" s="1266">
        <f>T39/T$53</f>
        <v>6.8503270436254884E-2</v>
      </c>
      <c r="W39" s="1267"/>
      <c r="X39" s="1267"/>
      <c r="Y39" s="1268"/>
      <c r="Z39" s="1269"/>
      <c r="AA39" s="1270">
        <f t="shared" ca="1" si="6"/>
        <v>134823.32706854242</v>
      </c>
      <c r="AB39" s="1271">
        <f t="shared" si="7"/>
        <v>168846.19395433311</v>
      </c>
      <c r="AC39" s="1272"/>
      <c r="AD39" s="1273"/>
      <c r="AE39" s="1177"/>
      <c r="AF39" s="1177"/>
    </row>
    <row r="40" spans="3:32" ht="15" customHeight="1">
      <c r="C40" s="1259" t="s">
        <v>579</v>
      </c>
      <c r="D40" s="1260"/>
      <c r="E40" s="1261">
        <v>40</v>
      </c>
      <c r="F40" s="903">
        <f t="shared" ref="F40:F42" ca="1" si="27">F59/0.94</f>
        <v>1276.3210171090498</v>
      </c>
      <c r="G40" s="908">
        <v>0</v>
      </c>
      <c r="H40" s="905">
        <v>0</v>
      </c>
      <c r="I40" s="908">
        <v>0</v>
      </c>
      <c r="J40" s="908">
        <v>0</v>
      </c>
      <c r="K40" s="905">
        <v>0</v>
      </c>
      <c r="L40" s="908">
        <f t="shared" ref="L40:L42" si="28">L47/0.94</f>
        <v>1534.7314745333958</v>
      </c>
      <c r="M40" s="908">
        <v>0</v>
      </c>
      <c r="N40" s="905">
        <v>0</v>
      </c>
      <c r="O40" s="903">
        <f t="shared" ref="O40:O42" ca="1" si="29">F40+L40</f>
        <v>2811.0524916424456</v>
      </c>
      <c r="P40" s="908">
        <v>0</v>
      </c>
      <c r="Q40" s="905">
        <v>0</v>
      </c>
      <c r="R40" s="1262">
        <f t="shared" ref="R40:R42" si="30">F66</f>
        <v>84</v>
      </c>
      <c r="S40" s="1274"/>
      <c r="T40" s="1264"/>
      <c r="U40" s="1265"/>
      <c r="V40" s="1266"/>
      <c r="W40" s="1267"/>
      <c r="X40" s="1267"/>
      <c r="Y40" s="1268"/>
      <c r="Z40" s="1269"/>
      <c r="AA40" s="1270">
        <f t="shared" ref="AA40:AA42" ca="1" si="31">R40*F40</f>
        <v>107210.96543716018</v>
      </c>
      <c r="AB40" s="1271"/>
      <c r="AC40" s="1272">
        <f t="shared" ref="AC40:AC42" si="32">L40*R40</f>
        <v>128917.44386080524</v>
      </c>
      <c r="AD40" s="1273"/>
      <c r="AE40" s="1177"/>
      <c r="AF40" s="1177"/>
    </row>
    <row r="41" spans="3:32" ht="15" customHeight="1">
      <c r="C41" s="1275"/>
      <c r="D41" s="1276"/>
      <c r="E41" s="1277">
        <v>50</v>
      </c>
      <c r="F41" s="184">
        <f t="shared" ca="1" si="27"/>
        <v>1595.4012713863124</v>
      </c>
      <c r="G41" s="220">
        <v>0</v>
      </c>
      <c r="H41" s="186">
        <v>0</v>
      </c>
      <c r="I41" s="220">
        <v>0</v>
      </c>
      <c r="J41" s="220">
        <v>0</v>
      </c>
      <c r="K41" s="186">
        <v>0</v>
      </c>
      <c r="L41" s="220">
        <f t="shared" si="28"/>
        <v>1918.4143431667449</v>
      </c>
      <c r="M41" s="220">
        <v>0</v>
      </c>
      <c r="N41" s="186">
        <v>0</v>
      </c>
      <c r="O41" s="184">
        <f t="shared" ca="1" si="29"/>
        <v>3513.8156145530575</v>
      </c>
      <c r="P41" s="220">
        <v>0</v>
      </c>
      <c r="Q41" s="186">
        <v>0</v>
      </c>
      <c r="R41" s="1278">
        <f t="shared" si="30"/>
        <v>66</v>
      </c>
      <c r="S41" s="1279"/>
      <c r="T41" s="1264"/>
      <c r="U41" s="1265"/>
      <c r="V41" s="1266"/>
      <c r="W41" s="1267"/>
      <c r="X41" s="1267"/>
      <c r="Y41" s="1268"/>
      <c r="Z41" s="1269"/>
      <c r="AA41" s="1270">
        <f t="shared" ca="1" si="31"/>
        <v>105296.48391149662</v>
      </c>
      <c r="AB41" s="1271"/>
      <c r="AC41" s="1272">
        <f t="shared" si="32"/>
        <v>126615.34664900517</v>
      </c>
      <c r="AD41" s="1273"/>
      <c r="AE41" s="1177"/>
      <c r="AF41" s="1177"/>
    </row>
    <row r="42" spans="3:32" ht="15" customHeight="1">
      <c r="C42" s="1275"/>
      <c r="D42" s="1276"/>
      <c r="E42" s="1277">
        <v>60</v>
      </c>
      <c r="F42" s="184">
        <f t="shared" ca="1" si="27"/>
        <v>1914.4815256635745</v>
      </c>
      <c r="G42" s="220">
        <v>0</v>
      </c>
      <c r="H42" s="186">
        <v>0</v>
      </c>
      <c r="I42" s="220">
        <v>0</v>
      </c>
      <c r="J42" s="220">
        <v>0</v>
      </c>
      <c r="K42" s="186">
        <v>0</v>
      </c>
      <c r="L42" s="220">
        <f t="shared" si="28"/>
        <v>2302.0972118000941</v>
      </c>
      <c r="M42" s="220">
        <v>0</v>
      </c>
      <c r="N42" s="186">
        <v>0</v>
      </c>
      <c r="O42" s="184">
        <f t="shared" ca="1" si="29"/>
        <v>4216.5787374636684</v>
      </c>
      <c r="P42" s="220">
        <v>0</v>
      </c>
      <c r="Q42" s="186">
        <v>0</v>
      </c>
      <c r="R42" s="1278">
        <f t="shared" si="30"/>
        <v>22</v>
      </c>
      <c r="S42" s="1279"/>
      <c r="T42" s="1264"/>
      <c r="U42" s="1265"/>
      <c r="V42" s="1266"/>
      <c r="W42" s="1267"/>
      <c r="X42" s="1267"/>
      <c r="Y42" s="1268"/>
      <c r="Z42" s="1269"/>
      <c r="AA42" s="1270">
        <f t="shared" ca="1" si="31"/>
        <v>42118.593564598639</v>
      </c>
      <c r="AB42" s="1271"/>
      <c r="AC42" s="1272">
        <f t="shared" si="32"/>
        <v>50646.138659602067</v>
      </c>
      <c r="AD42" s="1273"/>
      <c r="AE42" s="1177"/>
      <c r="AF42" s="1177"/>
    </row>
    <row r="43" spans="3:32" ht="15" customHeight="1">
      <c r="C43" s="1280" t="s">
        <v>204</v>
      </c>
      <c r="D43" s="1281"/>
      <c r="E43" s="1281"/>
      <c r="F43" s="1282">
        <f ca="1">AA43</f>
        <v>1281.968455237851</v>
      </c>
      <c r="G43" s="1283">
        <v>1281.9708481881464</v>
      </c>
      <c r="H43" s="1284">
        <f ca="1">(+F43-G43)/G43</f>
        <v>-1.8666183390972771E-6</v>
      </c>
      <c r="I43" s="1282">
        <v>0</v>
      </c>
      <c r="J43" s="1283">
        <v>0</v>
      </c>
      <c r="K43" s="1284" t="s">
        <v>203</v>
      </c>
      <c r="L43" s="1282">
        <v>1541.5219199499609</v>
      </c>
      <c r="M43" s="1283">
        <v>1541.5219199499609</v>
      </c>
      <c r="N43" s="1284">
        <f t="shared" ref="N43:N44" si="33">(+L43-M43)/M43</f>
        <v>0</v>
      </c>
      <c r="O43" s="1282">
        <f t="shared" ref="O43:O44" ca="1" si="34">L43+F43</f>
        <v>2823.4903751878119</v>
      </c>
      <c r="P43" s="1283">
        <f t="shared" ref="P43:P44" si="35">M43+G43</f>
        <v>2823.4927681381073</v>
      </c>
      <c r="Q43" s="1284">
        <f t="shared" ref="Q43:Q44" ca="1" si="36">(+O43-P43)/P43</f>
        <v>-8.4751422862473485E-7</v>
      </c>
      <c r="R43" s="1285"/>
      <c r="S43" s="1286" t="s">
        <v>7899</v>
      </c>
      <c r="T43" s="1246">
        <v>0.28000000000000003</v>
      </c>
      <c r="U43" s="71"/>
      <c r="V43" s="1247">
        <f>T43/T$53</f>
        <v>6.5136377872695853E-4</v>
      </c>
      <c r="W43" s="236"/>
      <c r="X43" s="236"/>
      <c r="Y43" s="1241"/>
      <c r="Z43" s="235"/>
      <c r="AA43" s="1250">
        <f ca="1">AA$7*V43/0.94</f>
        <v>1281.968455237851</v>
      </c>
      <c r="AB43" s="1251"/>
      <c r="AC43" s="1179">
        <f t="shared" ref="AC43:AC44" si="37">L43</f>
        <v>1541.5219199499609</v>
      </c>
      <c r="AD43" s="1287"/>
      <c r="AE43" s="68"/>
      <c r="AF43" s="1177"/>
    </row>
    <row r="44" spans="3:32" ht="15" customHeight="1">
      <c r="C44" s="1256" t="s">
        <v>205</v>
      </c>
      <c r="D44" s="1243"/>
      <c r="E44" s="1243"/>
      <c r="F44" s="875">
        <v>0</v>
      </c>
      <c r="G44" s="876">
        <v>0</v>
      </c>
      <c r="H44" s="877" t="s">
        <v>203</v>
      </c>
      <c r="I44" s="875">
        <v>0</v>
      </c>
      <c r="J44" s="876">
        <v>0</v>
      </c>
      <c r="K44" s="877" t="s">
        <v>203</v>
      </c>
      <c r="L44" s="875">
        <v>52624.276139332957</v>
      </c>
      <c r="M44" s="876">
        <v>52624.276139332957</v>
      </c>
      <c r="N44" s="877">
        <f t="shared" si="33"/>
        <v>0</v>
      </c>
      <c r="O44" s="875">
        <f t="shared" si="34"/>
        <v>52624.276139332957</v>
      </c>
      <c r="P44" s="876">
        <f t="shared" si="35"/>
        <v>52624.276139332957</v>
      </c>
      <c r="Q44" s="877">
        <f t="shared" si="36"/>
        <v>0</v>
      </c>
      <c r="R44" s="1244"/>
      <c r="S44" s="1245"/>
      <c r="T44" s="1246"/>
      <c r="U44" s="71"/>
      <c r="V44" s="1247"/>
      <c r="W44" s="236"/>
      <c r="X44" s="236"/>
      <c r="Y44" s="1241"/>
      <c r="Z44" s="235"/>
      <c r="AA44" s="1178"/>
      <c r="AB44" s="1178"/>
      <c r="AC44" s="1179">
        <f t="shared" si="37"/>
        <v>52624.276139332957</v>
      </c>
      <c r="AD44" s="1177"/>
      <c r="AE44" s="68"/>
      <c r="AF44" s="1194"/>
    </row>
    <row r="45" spans="3:32" ht="15" customHeight="1">
      <c r="C45" s="1288" t="s">
        <v>208</v>
      </c>
      <c r="D45" s="1289"/>
      <c r="E45" s="1290"/>
      <c r="F45" s="925"/>
      <c r="G45" s="926"/>
      <c r="H45" s="1236"/>
      <c r="I45" s="925"/>
      <c r="J45" s="926"/>
      <c r="K45" s="1236"/>
      <c r="L45" s="925"/>
      <c r="M45" s="926"/>
      <c r="N45" s="1236"/>
      <c r="O45" s="925"/>
      <c r="P45" s="926"/>
      <c r="Q45" s="1236"/>
      <c r="R45" s="1291"/>
      <c r="S45" s="1292"/>
      <c r="T45" s="1246"/>
      <c r="U45" s="71"/>
      <c r="V45" s="1293"/>
      <c r="W45" s="236"/>
      <c r="X45" s="236"/>
      <c r="Y45" s="1294"/>
      <c r="Z45" s="1177"/>
      <c r="AA45" s="1183"/>
      <c r="AB45" s="1183"/>
      <c r="AC45" s="1179"/>
      <c r="AD45" s="1177"/>
      <c r="AE45" s="68"/>
      <c r="AF45" s="1194"/>
    </row>
    <row r="46" spans="3:32" ht="15" customHeight="1">
      <c r="C46" s="1259" t="s">
        <v>211</v>
      </c>
      <c r="D46" s="1260"/>
      <c r="E46" s="1261"/>
      <c r="F46" s="903">
        <f ca="1">AA46/$R46</f>
        <v>1195.4040089315804</v>
      </c>
      <c r="G46" s="904">
        <v>0</v>
      </c>
      <c r="H46" s="905" t="s">
        <v>203</v>
      </c>
      <c r="I46" s="903">
        <v>1497.3153048780489</v>
      </c>
      <c r="J46" s="904">
        <v>0</v>
      </c>
      <c r="K46" s="905" t="s">
        <v>203</v>
      </c>
      <c r="L46" s="1295">
        <v>0</v>
      </c>
      <c r="M46" s="904">
        <v>0</v>
      </c>
      <c r="N46" s="905">
        <v>0</v>
      </c>
      <c r="O46" s="903">
        <f t="shared" ref="O46:O51" ca="1" si="38">I46+F46+L46</f>
        <v>2692.7193138096291</v>
      </c>
      <c r="P46" s="904">
        <f>J46+G46+M46</f>
        <v>0</v>
      </c>
      <c r="Q46" s="905">
        <v>0</v>
      </c>
      <c r="R46" s="1262">
        <v>58</v>
      </c>
      <c r="S46" s="1263" t="s">
        <v>7899</v>
      </c>
      <c r="T46" s="1264">
        <f>ROUND(N66-T39,2)</f>
        <v>16.11</v>
      </c>
      <c r="U46" s="1265"/>
      <c r="V46" s="1266">
        <f>T46/T$53</f>
        <v>3.74766802688975E-2</v>
      </c>
      <c r="W46" s="1267"/>
      <c r="X46" s="1267"/>
      <c r="Y46" s="1268"/>
      <c r="Z46" s="1269"/>
      <c r="AA46" s="1296">
        <f ca="1">AA$7*V46</f>
        <v>69333.432518031666</v>
      </c>
      <c r="AB46" s="1270">
        <f>R46*I46</f>
        <v>86844.287682926835</v>
      </c>
      <c r="AC46" s="1272"/>
      <c r="AD46" s="1273"/>
      <c r="AE46" s="68"/>
      <c r="AF46" s="68"/>
    </row>
    <row r="47" spans="3:32" ht="15" customHeight="1">
      <c r="C47" s="1259" t="s">
        <v>7900</v>
      </c>
      <c r="D47" s="1260"/>
      <c r="E47" s="1261">
        <v>40</v>
      </c>
      <c r="F47" s="903">
        <f t="shared" ref="F47:F49" ca="1" si="39">F59</f>
        <v>1199.7417560825068</v>
      </c>
      <c r="G47" s="908">
        <v>0</v>
      </c>
      <c r="H47" s="905">
        <v>0</v>
      </c>
      <c r="I47" s="903">
        <f t="shared" ref="I47:I49" si="40">I59</f>
        <v>0</v>
      </c>
      <c r="J47" s="908">
        <v>0</v>
      </c>
      <c r="K47" s="905">
        <v>0</v>
      </c>
      <c r="L47" s="903">
        <f t="shared" ref="L47:L49" si="41">L59</f>
        <v>1442.6475860613921</v>
      </c>
      <c r="M47" s="908">
        <v>0</v>
      </c>
      <c r="N47" s="905">
        <v>0</v>
      </c>
      <c r="O47" s="903">
        <f t="shared" ca="1" si="38"/>
        <v>2642.3893421438988</v>
      </c>
      <c r="P47" s="908">
        <v>0</v>
      </c>
      <c r="Q47" s="905">
        <v>0</v>
      </c>
      <c r="R47" s="1262">
        <f t="shared" ref="R47:R49" si="42">K66</f>
        <v>102</v>
      </c>
      <c r="S47" s="1274"/>
      <c r="T47" s="1297"/>
      <c r="U47" s="1265"/>
      <c r="V47" s="1266"/>
      <c r="W47" s="1267"/>
      <c r="X47" s="1267"/>
      <c r="Y47" s="1268"/>
      <c r="Z47" s="1269"/>
      <c r="AA47" s="1296">
        <f t="shared" ref="AA47:AA49" ca="1" si="43">R47*F47</f>
        <v>122373.65912041569</v>
      </c>
      <c r="AB47" s="1270"/>
      <c r="AC47" s="1272">
        <f t="shared" ref="AC47:AC49" si="44">R47*L47</f>
        <v>147150.05377826199</v>
      </c>
      <c r="AD47" s="1298"/>
      <c r="AE47" s="1177"/>
      <c r="AF47" s="1177"/>
    </row>
    <row r="48" spans="3:32" ht="15" customHeight="1">
      <c r="C48" s="1275"/>
      <c r="D48" s="1276"/>
      <c r="E48" s="1277">
        <v>50</v>
      </c>
      <c r="F48" s="184">
        <f t="shared" ca="1" si="39"/>
        <v>1499.6771951031335</v>
      </c>
      <c r="G48" s="220">
        <v>0</v>
      </c>
      <c r="H48" s="186">
        <v>0</v>
      </c>
      <c r="I48" s="184">
        <f t="shared" si="40"/>
        <v>0</v>
      </c>
      <c r="J48" s="220">
        <v>0</v>
      </c>
      <c r="K48" s="186">
        <v>0</v>
      </c>
      <c r="L48" s="184">
        <f t="shared" si="41"/>
        <v>1803.30948257674</v>
      </c>
      <c r="M48" s="220">
        <v>0</v>
      </c>
      <c r="N48" s="186">
        <v>0</v>
      </c>
      <c r="O48" s="184">
        <f t="shared" ca="1" si="38"/>
        <v>3302.9866776798735</v>
      </c>
      <c r="P48" s="220">
        <v>0</v>
      </c>
      <c r="Q48" s="186">
        <v>0</v>
      </c>
      <c r="R48" s="1278">
        <f t="shared" si="42"/>
        <v>154</v>
      </c>
      <c r="S48" s="1279"/>
      <c r="T48" s="1297"/>
      <c r="U48" s="1265"/>
      <c r="V48" s="1266"/>
      <c r="W48" s="1267"/>
      <c r="X48" s="1267"/>
      <c r="Y48" s="1268"/>
      <c r="Z48" s="1269"/>
      <c r="AA48" s="1296">
        <f t="shared" ca="1" si="43"/>
        <v>230950.28804588257</v>
      </c>
      <c r="AB48" s="1270"/>
      <c r="AC48" s="1272">
        <f t="shared" si="44"/>
        <v>277709.66031681799</v>
      </c>
      <c r="AD48" s="1298"/>
      <c r="AE48" s="1177"/>
      <c r="AF48" s="1177"/>
    </row>
    <row r="49" spans="3:32" ht="15" customHeight="1">
      <c r="C49" s="1275"/>
      <c r="D49" s="1276"/>
      <c r="E49" s="1277">
        <v>60</v>
      </c>
      <c r="F49" s="184">
        <f t="shared" ca="1" si="39"/>
        <v>1799.61263412376</v>
      </c>
      <c r="G49" s="220">
        <v>0</v>
      </c>
      <c r="H49" s="186">
        <v>0</v>
      </c>
      <c r="I49" s="184">
        <f t="shared" si="40"/>
        <v>0</v>
      </c>
      <c r="J49" s="220">
        <v>0</v>
      </c>
      <c r="K49" s="186">
        <v>0</v>
      </c>
      <c r="L49" s="184">
        <f t="shared" si="41"/>
        <v>2163.9713790920882</v>
      </c>
      <c r="M49" s="220">
        <v>0</v>
      </c>
      <c r="N49" s="186">
        <v>0</v>
      </c>
      <c r="O49" s="184">
        <f t="shared" ca="1" si="38"/>
        <v>3963.5840132158482</v>
      </c>
      <c r="P49" s="220">
        <v>0</v>
      </c>
      <c r="Q49" s="186">
        <v>0</v>
      </c>
      <c r="R49" s="1278">
        <f t="shared" si="42"/>
        <v>49</v>
      </c>
      <c r="S49" s="1279"/>
      <c r="T49" s="1297"/>
      <c r="U49" s="1265"/>
      <c r="V49" s="1266"/>
      <c r="W49" s="1267"/>
      <c r="X49" s="1267"/>
      <c r="Y49" s="1268"/>
      <c r="Z49" s="1269"/>
      <c r="AA49" s="1296">
        <f t="shared" ca="1" si="43"/>
        <v>88181.019072064242</v>
      </c>
      <c r="AB49" s="1270"/>
      <c r="AC49" s="1272">
        <f t="shared" si="44"/>
        <v>106034.59757551232</v>
      </c>
      <c r="AD49" s="1298"/>
      <c r="AE49" s="1299"/>
      <c r="AF49" s="1177"/>
    </row>
    <row r="50" spans="3:32" ht="15" customHeight="1">
      <c r="C50" s="1256" t="s">
        <v>213</v>
      </c>
      <c r="D50" s="1300"/>
      <c r="E50" s="1301"/>
      <c r="F50" s="976">
        <f ca="1">AA7/T53</f>
        <v>4303.7512425842133</v>
      </c>
      <c r="G50" s="876">
        <v>4303.7592760602056</v>
      </c>
      <c r="H50" s="877">
        <f t="shared" ref="H50:H51" ca="1" si="45">(+F50-G50)/G50</f>
        <v>-1.866618339225582E-6</v>
      </c>
      <c r="I50" s="976">
        <v>0</v>
      </c>
      <c r="J50" s="876">
        <v>0</v>
      </c>
      <c r="K50" s="877">
        <v>0</v>
      </c>
      <c r="L50" s="875">
        <v>5175.1106397965223</v>
      </c>
      <c r="M50" s="876">
        <v>5175.1106397965223</v>
      </c>
      <c r="N50" s="877">
        <f t="shared" ref="N50:N51" si="46">(+L50-M50)/M50</f>
        <v>0</v>
      </c>
      <c r="O50" s="976">
        <f t="shared" ca="1" si="38"/>
        <v>9478.8618823807356</v>
      </c>
      <c r="P50" s="876">
        <f t="shared" ref="P50:P51" si="47">J50+G50+M50</f>
        <v>9478.8699158567288</v>
      </c>
      <c r="Q50" s="877">
        <f t="shared" ref="Q50:Q51" ca="1" si="48">(+O50-P50)/P50</f>
        <v>-8.4751410922697516E-7</v>
      </c>
      <c r="R50" s="1302"/>
      <c r="S50" s="1303">
        <f t="shared" ref="S50:S51" si="49">T50</f>
        <v>29.97</v>
      </c>
      <c r="T50" s="1246">
        <f>30.25-0.28</f>
        <v>29.97</v>
      </c>
      <c r="U50" s="71"/>
      <c r="V50" s="1247">
        <f t="shared" ref="V50:V51" si="50">T50/T$53</f>
        <v>6.9719187315881948E-2</v>
      </c>
      <c r="W50" s="236"/>
      <c r="X50" s="236"/>
      <c r="Y50" s="1241"/>
      <c r="Z50" s="235"/>
      <c r="AA50" s="1178">
        <f t="shared" ref="AA50:AA51" ca="1" si="51">F50*T50</f>
        <v>128983.42474024887</v>
      </c>
      <c r="AB50" s="1179"/>
      <c r="AC50" s="1179">
        <f t="shared" ref="AC50:AC51" si="52">S50*L50</f>
        <v>155098.06587470177</v>
      </c>
      <c r="AD50" s="1177"/>
      <c r="AE50" s="1304"/>
      <c r="AF50" s="1177"/>
    </row>
    <row r="51" spans="3:32" ht="15" customHeight="1">
      <c r="C51" s="1305" t="s">
        <v>215</v>
      </c>
      <c r="D51" s="1306"/>
      <c r="E51" s="1306"/>
      <c r="F51" s="916">
        <f ca="1">F50</f>
        <v>4303.7512425842133</v>
      </c>
      <c r="G51" s="917">
        <v>4303.7592760602056</v>
      </c>
      <c r="H51" s="918">
        <f t="shared" ca="1" si="45"/>
        <v>-1.866618339225582E-6</v>
      </c>
      <c r="I51" s="916">
        <v>0</v>
      </c>
      <c r="J51" s="917">
        <v>0</v>
      </c>
      <c r="K51" s="918">
        <v>0</v>
      </c>
      <c r="L51" s="916">
        <v>5175.1106675108258</v>
      </c>
      <c r="M51" s="917">
        <v>5175.1106675108258</v>
      </c>
      <c r="N51" s="918">
        <f t="shared" si="46"/>
        <v>0</v>
      </c>
      <c r="O51" s="981">
        <f t="shared" ca="1" si="38"/>
        <v>9478.8619100950382</v>
      </c>
      <c r="P51" s="917">
        <f t="shared" si="47"/>
        <v>9478.8699435710314</v>
      </c>
      <c r="Q51" s="918">
        <f t="shared" ca="1" si="48"/>
        <v>-8.47514106749015E-7</v>
      </c>
      <c r="R51" s="1307"/>
      <c r="S51" s="1308">
        <f t="shared" si="49"/>
        <v>7.58</v>
      </c>
      <c r="T51" s="1246">
        <v>7.58</v>
      </c>
      <c r="U51" s="71"/>
      <c r="V51" s="1247">
        <f t="shared" si="50"/>
        <v>1.763334800982266E-2</v>
      </c>
      <c r="W51" s="236"/>
      <c r="X51" s="236"/>
      <c r="Y51" s="1241"/>
      <c r="Z51" s="235"/>
      <c r="AA51" s="1178">
        <f t="shared" ca="1" si="51"/>
        <v>32622.434418788336</v>
      </c>
      <c r="AB51" s="1179"/>
      <c r="AC51" s="1179">
        <f t="shared" si="52"/>
        <v>39227.338859732059</v>
      </c>
      <c r="AD51" s="1177"/>
      <c r="AE51" s="1299"/>
      <c r="AF51" s="1177"/>
    </row>
    <row r="52" spans="3:32">
      <c r="C52" s="1309"/>
      <c r="D52" s="1309"/>
      <c r="E52" s="1309"/>
      <c r="F52" s="986"/>
      <c r="G52" s="986"/>
      <c r="H52" s="987"/>
      <c r="I52" s="1310"/>
      <c r="J52" s="1310"/>
      <c r="K52" s="987"/>
      <c r="L52" s="987"/>
      <c r="M52" s="987"/>
      <c r="N52" s="989"/>
      <c r="O52" s="1310"/>
      <c r="P52" s="1310"/>
      <c r="Q52" s="989"/>
      <c r="R52" s="1311"/>
      <c r="S52" s="1312"/>
      <c r="T52" s="1246"/>
      <c r="U52" s="71"/>
      <c r="V52" s="1247"/>
      <c r="W52" s="236"/>
      <c r="X52" s="236"/>
      <c r="Y52" s="1241"/>
      <c r="Z52" s="235"/>
      <c r="AA52" s="1178"/>
      <c r="AB52" s="1179"/>
      <c r="AC52" s="1179"/>
      <c r="AD52" s="1177"/>
      <c r="AE52" s="1177"/>
      <c r="AF52" s="1177"/>
    </row>
    <row r="53" spans="3:32" ht="14.25">
      <c r="C53" s="1313"/>
      <c r="D53" s="1314" t="s">
        <v>216</v>
      </c>
      <c r="E53" s="1309"/>
      <c r="F53" s="994"/>
      <c r="G53" s="994"/>
      <c r="H53" s="1315"/>
      <c r="I53" s="1316"/>
      <c r="J53" s="1316"/>
      <c r="K53" s="1315"/>
      <c r="L53" s="1315"/>
      <c r="M53" s="1315"/>
      <c r="N53" s="1315"/>
      <c r="O53" s="1310"/>
      <c r="P53" s="1310"/>
      <c r="Q53" s="1317" t="s">
        <v>150</v>
      </c>
      <c r="R53" s="998">
        <f>SUM(R11:R49)</f>
        <v>1532</v>
      </c>
      <c r="S53" s="1318">
        <f>SUM(S11:S51)</f>
        <v>37.549999999999997</v>
      </c>
      <c r="T53" s="1319">
        <f>SUM(T11:T51)+T59</f>
        <v>429.86731707317063</v>
      </c>
      <c r="U53" s="244"/>
      <c r="V53" s="1320">
        <f>SUM(V10:V52)</f>
        <v>0.6319794650192686</v>
      </c>
      <c r="W53" s="244"/>
      <c r="X53" s="244"/>
      <c r="Y53" s="1321">
        <f>SUM(Y11:Y51)</f>
        <v>45</v>
      </c>
      <c r="Z53" s="1322"/>
      <c r="AA53" s="1323">
        <f ca="1">SUM(AA11:AA51)</f>
        <v>1925207.8133245474</v>
      </c>
      <c r="AB53" s="1323">
        <f>SUM(AB11:AB51)</f>
        <v>1263071.0552951745</v>
      </c>
      <c r="AC53" s="1323">
        <f>SUM(AC11:AC51)</f>
        <v>1085564.4436337214</v>
      </c>
      <c r="AD53" s="1299"/>
      <c r="AE53" s="1177"/>
      <c r="AF53" s="1177"/>
    </row>
    <row r="54" spans="3:32">
      <c r="C54" s="1313"/>
      <c r="D54" s="1324"/>
      <c r="E54" s="1325"/>
      <c r="F54" s="1324"/>
      <c r="G54" s="1324"/>
      <c r="H54" s="1324"/>
      <c r="I54" s="1324"/>
      <c r="J54" s="1324"/>
      <c r="K54" s="1324"/>
      <c r="L54" s="1324"/>
      <c r="M54" s="1326"/>
      <c r="N54" s="1324"/>
      <c r="O54" s="1324"/>
      <c r="P54" s="1324"/>
      <c r="Q54" s="1327"/>
      <c r="R54" s="1325"/>
      <c r="S54" s="1325"/>
      <c r="T54" s="1176"/>
      <c r="U54" s="71"/>
      <c r="V54" s="235"/>
      <c r="W54" s="71"/>
      <c r="X54" s="71"/>
      <c r="Y54" s="244"/>
      <c r="Z54" s="1177"/>
      <c r="AA54" s="1178"/>
      <c r="AB54" s="1250"/>
      <c r="AC54" s="1178"/>
      <c r="AD54" s="1176"/>
      <c r="AE54" s="1177"/>
      <c r="AF54" s="1177"/>
    </row>
    <row r="55" spans="3:32" s="1328" customFormat="1">
      <c r="C55" s="1329"/>
      <c r="D55" s="1176"/>
      <c r="E55" s="1174"/>
      <c r="F55" s="1176"/>
      <c r="G55" s="1176"/>
      <c r="H55" s="1176"/>
      <c r="I55" s="1176"/>
      <c r="J55" s="1176"/>
      <c r="K55" s="1176"/>
      <c r="L55" s="1176"/>
      <c r="M55" s="1330"/>
      <c r="N55" s="1176"/>
      <c r="O55" s="1176"/>
      <c r="P55" s="1176"/>
      <c r="Q55" s="1230"/>
      <c r="R55" s="1174"/>
      <c r="S55" s="1174"/>
      <c r="T55" s="1176"/>
      <c r="U55" s="71"/>
      <c r="V55" s="235"/>
      <c r="W55" s="71"/>
      <c r="X55" s="71"/>
      <c r="Y55" s="244"/>
      <c r="Z55" s="1177"/>
      <c r="AA55" s="1178"/>
      <c r="AB55" s="1250"/>
      <c r="AC55" s="1178"/>
      <c r="AD55" s="1176"/>
      <c r="AE55" s="1177"/>
      <c r="AF55" s="1177"/>
    </row>
    <row r="56" spans="3:32" ht="15.75" hidden="1">
      <c r="C56" s="1439" t="s">
        <v>571</v>
      </c>
      <c r="D56" s="1439"/>
      <c r="E56" s="1439"/>
      <c r="F56" s="1450" t="s">
        <v>145</v>
      </c>
      <c r="G56" s="1450"/>
      <c r="H56" s="1450"/>
      <c r="I56" s="1451" t="s">
        <v>146</v>
      </c>
      <c r="J56" s="1451"/>
      <c r="K56" s="1451"/>
      <c r="L56" s="1452" t="s">
        <v>147</v>
      </c>
      <c r="M56" s="1452"/>
      <c r="N56" s="1452"/>
      <c r="O56" s="1453" t="s">
        <v>148</v>
      </c>
      <c r="P56" s="1453"/>
      <c r="Q56" s="1453"/>
      <c r="R56" s="1192"/>
      <c r="S56" s="1193"/>
      <c r="T56" s="48"/>
      <c r="U56" s="48"/>
      <c r="V56" s="1173" t="s">
        <v>149</v>
      </c>
      <c r="W56" s="1195"/>
      <c r="X56" s="1331"/>
      <c r="AE56" s="1176"/>
      <c r="AF56" s="1176"/>
    </row>
    <row r="57" spans="3:32" ht="15" hidden="1">
      <c r="C57" s="827"/>
      <c r="D57" s="828"/>
      <c r="E57" s="1196"/>
      <c r="F57" s="1197" t="s">
        <v>153</v>
      </c>
      <c r="G57" s="1198" t="s">
        <v>154</v>
      </c>
      <c r="H57" s="833" t="s">
        <v>155</v>
      </c>
      <c r="I57" s="1197" t="str">
        <f>O57</f>
        <v>FY 2017</v>
      </c>
      <c r="J57" s="1198" t="str">
        <f>P57</f>
        <v>FY 2016</v>
      </c>
      <c r="K57" s="834" t="s">
        <v>155</v>
      </c>
      <c r="L57" s="1197" t="str">
        <f>I57</f>
        <v>FY 2017</v>
      </c>
      <c r="M57" s="1198" t="str">
        <f>J57</f>
        <v>FY 2016</v>
      </c>
      <c r="N57" s="833" t="s">
        <v>155</v>
      </c>
      <c r="O57" s="1197" t="str">
        <f>F57</f>
        <v>FY 2017</v>
      </c>
      <c r="P57" s="1198" t="str">
        <f>G57</f>
        <v>FY 2016</v>
      </c>
      <c r="Q57" s="833" t="s">
        <v>155</v>
      </c>
      <c r="R57" s="1199" t="s">
        <v>299</v>
      </c>
      <c r="S57" s="1200" t="s">
        <v>299</v>
      </c>
      <c r="T57" s="48"/>
      <c r="U57" s="48"/>
      <c r="V57" s="1173" t="s">
        <v>156</v>
      </c>
      <c r="W57" s="1201" t="s">
        <v>157</v>
      </c>
      <c r="X57" s="1331"/>
      <c r="AE57" s="1176"/>
      <c r="AF57" s="1176"/>
    </row>
    <row r="58" spans="3:32" ht="51" hidden="1">
      <c r="C58" s="1204" t="s">
        <v>161</v>
      </c>
      <c r="D58" s="1205"/>
      <c r="E58" s="840" t="s">
        <v>163</v>
      </c>
      <c r="F58" s="1206" t="s">
        <v>164</v>
      </c>
      <c r="G58" s="1207" t="s">
        <v>164</v>
      </c>
      <c r="H58" s="1208" t="s">
        <v>165</v>
      </c>
      <c r="I58" s="1209" t="s">
        <v>575</v>
      </c>
      <c r="J58" s="1210" t="s">
        <v>575</v>
      </c>
      <c r="K58" s="1208" t="s">
        <v>165</v>
      </c>
      <c r="L58" s="1209" t="s">
        <v>575</v>
      </c>
      <c r="M58" s="1210" t="s">
        <v>575</v>
      </c>
      <c r="N58" s="1208" t="s">
        <v>165</v>
      </c>
      <c r="O58" s="1206" t="s">
        <v>148</v>
      </c>
      <c r="P58" s="1207" t="s">
        <v>148</v>
      </c>
      <c r="Q58" s="1208" t="s">
        <v>165</v>
      </c>
      <c r="R58" s="1211" t="s">
        <v>168</v>
      </c>
      <c r="S58" s="1212" t="s">
        <v>158</v>
      </c>
      <c r="T58" s="1213" t="s">
        <v>158</v>
      </c>
      <c r="U58" s="1214" t="s">
        <v>169</v>
      </c>
      <c r="V58" s="1215" t="s">
        <v>170</v>
      </c>
      <c r="W58" s="1216" t="s">
        <v>171</v>
      </c>
      <c r="X58" s="1331"/>
      <c r="Y58" s="1454" t="s">
        <v>7901</v>
      </c>
      <c r="Z58" s="1454"/>
      <c r="AA58" s="1332" t="s">
        <v>142</v>
      </c>
      <c r="AB58" s="1220" t="s">
        <v>7902</v>
      </c>
      <c r="AC58" s="1333" t="s">
        <v>7903</v>
      </c>
      <c r="AD58" s="1257"/>
      <c r="AE58" s="1176"/>
      <c r="AF58" s="1176"/>
    </row>
    <row r="59" spans="3:32" ht="15" hidden="1">
      <c r="C59" s="1334" t="s">
        <v>212</v>
      </c>
      <c r="D59" s="1335"/>
      <c r="E59" s="1336">
        <v>40</v>
      </c>
      <c r="F59" s="1337">
        <f t="shared" ref="F59:F61" ca="1" si="53">AA$7*V59/R59</f>
        <v>1199.7417560825068</v>
      </c>
      <c r="G59" s="1338">
        <v>0</v>
      </c>
      <c r="H59" s="1339">
        <v>0</v>
      </c>
      <c r="I59" s="1337">
        <v>0</v>
      </c>
      <c r="J59" s="1338">
        <v>0</v>
      </c>
      <c r="K59" s="1339">
        <v>0</v>
      </c>
      <c r="L59" s="1340">
        <v>1442.6475860613921</v>
      </c>
      <c r="M59" s="1338">
        <v>0</v>
      </c>
      <c r="N59" s="1339">
        <v>0</v>
      </c>
      <c r="O59" s="1337">
        <f t="shared" ref="O59:O61" ca="1" si="54">I59+F59+L59</f>
        <v>2642.3893421438988</v>
      </c>
      <c r="P59" s="1341">
        <f t="shared" ref="P59:P61" si="55">J59+G59+M59</f>
        <v>0</v>
      </c>
      <c r="Q59" s="1339">
        <v>0</v>
      </c>
      <c r="R59" s="1342">
        <v>186</v>
      </c>
      <c r="S59" s="1343"/>
      <c r="T59" s="1344">
        <f>131.86+26.34</f>
        <v>158.20000000000002</v>
      </c>
      <c r="U59" s="1345">
        <f t="shared" ref="U59:U61" si="56">+E59*R59</f>
        <v>7440</v>
      </c>
      <c r="V59" s="1346">
        <f t="shared" ref="V59:V61" si="57">(U59/SUM(U$59:U$61))*T$59/T$53</f>
        <v>0.12061994626681247</v>
      </c>
      <c r="W59" s="1347">
        <f t="shared" ref="W59:W61" si="58">T$59*(U59/SUM(U$59:U$61))/R59</f>
        <v>0.27876651982378858</v>
      </c>
      <c r="X59" s="71"/>
      <c r="Y59" s="1348"/>
      <c r="Z59" s="1349" t="s">
        <v>7904</v>
      </c>
      <c r="AA59" s="1179">
        <f ca="1">SUM(AA11:AA44)</f>
        <v>1252763.555409116</v>
      </c>
      <c r="AB59" s="1179">
        <f>SUM(AB11:AB44)</f>
        <v>1176226.7676122477</v>
      </c>
      <c r="AC59" s="1350">
        <f>SUM(AC40:AC44)</f>
        <v>360344.72722869541</v>
      </c>
      <c r="AD59" s="1257"/>
      <c r="AE59" s="1176"/>
      <c r="AF59" s="1176"/>
    </row>
    <row r="60" spans="3:32" ht="15" hidden="1">
      <c r="C60" s="1351"/>
      <c r="D60" s="1352"/>
      <c r="E60" s="1353">
        <v>50</v>
      </c>
      <c r="F60" s="955">
        <f t="shared" ca="1" si="53"/>
        <v>1499.6771951031335</v>
      </c>
      <c r="G60" s="956">
        <v>0</v>
      </c>
      <c r="H60" s="957">
        <v>0</v>
      </c>
      <c r="I60" s="955">
        <v>0</v>
      </c>
      <c r="J60" s="956">
        <v>0</v>
      </c>
      <c r="K60" s="957">
        <v>0</v>
      </c>
      <c r="L60" s="958">
        <v>1803.30948257674</v>
      </c>
      <c r="M60" s="956">
        <v>0</v>
      </c>
      <c r="N60" s="957">
        <v>0</v>
      </c>
      <c r="O60" s="955">
        <f t="shared" ca="1" si="54"/>
        <v>3302.9866776798735</v>
      </c>
      <c r="P60" s="959">
        <f t="shared" si="55"/>
        <v>0</v>
      </c>
      <c r="Q60" s="957">
        <v>0</v>
      </c>
      <c r="R60" s="1354">
        <v>220</v>
      </c>
      <c r="S60" s="1355"/>
      <c r="T60" s="1344"/>
      <c r="U60" s="1345">
        <f t="shared" si="56"/>
        <v>11000</v>
      </c>
      <c r="V60" s="1346">
        <f t="shared" si="57"/>
        <v>0.17833594206114745</v>
      </c>
      <c r="W60" s="1347">
        <f t="shared" si="58"/>
        <v>0.34845814977973566</v>
      </c>
      <c r="X60" s="71"/>
      <c r="Y60" s="1348"/>
      <c r="Z60" s="1349" t="s">
        <v>7905</v>
      </c>
      <c r="AA60" s="1179">
        <f ca="1">SUM(AA46:AA51)</f>
        <v>672444.2579154314</v>
      </c>
      <c r="AB60" s="1179">
        <f>SUM(AB46:AB51)</f>
        <v>86844.287682926835</v>
      </c>
      <c r="AC60" s="1350">
        <f>SUM(AC47:AC51)</f>
        <v>725219.71640502615</v>
      </c>
      <c r="AD60" s="1176"/>
      <c r="AE60" s="1176"/>
      <c r="AF60" s="1176"/>
    </row>
    <row r="61" spans="3:32" ht="15" hidden="1">
      <c r="C61" s="1356"/>
      <c r="D61" s="1357"/>
      <c r="E61" s="1358">
        <v>60</v>
      </c>
      <c r="F61" s="1359">
        <f t="shared" ca="1" si="53"/>
        <v>1799.61263412376</v>
      </c>
      <c r="G61" s="1360">
        <v>0</v>
      </c>
      <c r="H61" s="1361">
        <v>0</v>
      </c>
      <c r="I61" s="1359">
        <v>0</v>
      </c>
      <c r="J61" s="1360">
        <v>0</v>
      </c>
      <c r="K61" s="1361">
        <v>0</v>
      </c>
      <c r="L61" s="1362">
        <v>2163.9713790920882</v>
      </c>
      <c r="M61" s="1360">
        <v>0</v>
      </c>
      <c r="N61" s="1361">
        <v>0</v>
      </c>
      <c r="O61" s="1359">
        <f t="shared" ca="1" si="54"/>
        <v>3963.5840132158482</v>
      </c>
      <c r="P61" s="1363">
        <f t="shared" si="55"/>
        <v>0</v>
      </c>
      <c r="Q61" s="1361">
        <v>0</v>
      </c>
      <c r="R61" s="1364">
        <v>71</v>
      </c>
      <c r="S61" s="1365"/>
      <c r="T61" s="1344"/>
      <c r="U61" s="1345">
        <f t="shared" si="56"/>
        <v>4260</v>
      </c>
      <c r="V61" s="1346">
        <f t="shared" si="57"/>
        <v>6.906464665277165E-2</v>
      </c>
      <c r="W61" s="1347">
        <f t="shared" si="58"/>
        <v>0.41814977973568285</v>
      </c>
      <c r="X61" s="71"/>
      <c r="Y61" s="1348"/>
      <c r="Z61" s="1177"/>
      <c r="AA61" s="1366">
        <f ca="1">SUM(AA59:AA60)</f>
        <v>1925207.8133245474</v>
      </c>
      <c r="AB61" s="1366">
        <f>SUM(AB59:AB60)</f>
        <v>1263071.0552951745</v>
      </c>
      <c r="AC61" s="1367">
        <f>SUM(AC59:AC60)</f>
        <v>1085564.4436337217</v>
      </c>
      <c r="AD61" s="1176"/>
      <c r="AE61" s="1176"/>
      <c r="AF61" s="1176"/>
    </row>
    <row r="62" spans="3:32" hidden="1">
      <c r="H62" s="1176"/>
      <c r="I62" s="1176"/>
      <c r="J62" s="1176"/>
      <c r="K62" s="1176"/>
      <c r="L62" s="1176"/>
      <c r="M62" s="1176"/>
      <c r="N62" s="1176"/>
      <c r="O62" s="1176"/>
      <c r="P62" s="1176"/>
      <c r="Q62" s="1175"/>
      <c r="R62" s="1176"/>
      <c r="S62" s="1176"/>
      <c r="T62" s="1176"/>
      <c r="U62" s="71"/>
      <c r="V62" s="1176"/>
      <c r="W62" s="71"/>
      <c r="X62" s="71"/>
      <c r="Y62" s="1348"/>
      <c r="Z62" s="1177"/>
      <c r="AA62" s="1179"/>
      <c r="AB62" s="1179"/>
      <c r="AC62" s="1350"/>
      <c r="AD62" s="1176"/>
      <c r="AE62" s="1176"/>
      <c r="AF62" s="1176"/>
    </row>
    <row r="63" spans="3:32" hidden="1">
      <c r="D63" s="1368" t="s">
        <v>7906</v>
      </c>
      <c r="E63" s="1174"/>
      <c r="F63" s="1369"/>
      <c r="G63" s="77"/>
      <c r="H63" s="1370"/>
      <c r="I63" s="1369"/>
      <c r="J63" s="1369"/>
      <c r="K63" s="1369"/>
      <c r="L63" s="1371"/>
      <c r="M63" s="1372" t="s">
        <v>7907</v>
      </c>
      <c r="N63" s="1176"/>
      <c r="O63" s="1174"/>
      <c r="Q63" s="1175"/>
      <c r="R63" s="1176"/>
      <c r="S63" s="1176"/>
      <c r="T63" s="1176"/>
      <c r="U63" s="71"/>
      <c r="V63" s="1176"/>
      <c r="W63" s="71"/>
      <c r="X63" s="71"/>
      <c r="Y63" s="1348"/>
      <c r="Z63" s="1293" t="s">
        <v>7908</v>
      </c>
      <c r="AA63" s="1179">
        <f ca="1">AA59*0.94</f>
        <v>1177597.7420845688</v>
      </c>
      <c r="AB63" s="1179"/>
      <c r="AC63" s="1373">
        <v>1067193.7078835601</v>
      </c>
      <c r="AD63" s="1374" t="s">
        <v>7909</v>
      </c>
      <c r="AE63" s="1176"/>
      <c r="AF63" s="1176"/>
    </row>
    <row r="64" spans="3:32" hidden="1">
      <c r="D64" s="1176"/>
      <c r="E64" s="1174"/>
      <c r="F64" s="1173" t="s">
        <v>144</v>
      </c>
      <c r="G64" s="1375" t="s">
        <v>208</v>
      </c>
      <c r="H64" s="1375" t="s">
        <v>208</v>
      </c>
      <c r="I64" s="1375" t="s">
        <v>208</v>
      </c>
      <c r="J64" s="1375" t="s">
        <v>208</v>
      </c>
      <c r="K64" s="1375" t="s">
        <v>7910</v>
      </c>
      <c r="L64" s="1173" t="s">
        <v>7911</v>
      </c>
      <c r="M64" s="1376" t="s">
        <v>7912</v>
      </c>
      <c r="N64" s="1176"/>
      <c r="O64" s="1174"/>
      <c r="Q64" s="1175"/>
      <c r="R64" s="1176"/>
      <c r="S64" s="1176"/>
      <c r="T64" s="1176"/>
      <c r="U64" s="71"/>
      <c r="V64" s="1176"/>
      <c r="W64" s="71"/>
      <c r="X64" s="71"/>
      <c r="Y64" s="1348"/>
      <c r="Z64" s="1293" t="s">
        <v>7913</v>
      </c>
      <c r="AA64" s="1377">
        <f ca="1">AA60</f>
        <v>672444.2579154314</v>
      </c>
      <c r="AB64" s="1179"/>
      <c r="AC64" s="1350">
        <f>SUM(AC40:AC42)*0.94</f>
        <v>287808.19341924769</v>
      </c>
      <c r="AD64" s="1378" t="s">
        <v>592</v>
      </c>
      <c r="AE64" s="1176"/>
      <c r="AF64" s="1176"/>
    </row>
    <row r="65" spans="3:32" hidden="1">
      <c r="C65" s="1176"/>
      <c r="D65" s="1176"/>
      <c r="E65" s="1379" t="s">
        <v>7914</v>
      </c>
      <c r="F65" s="1379" t="s">
        <v>583</v>
      </c>
      <c r="G65" s="1380" t="s">
        <v>7915</v>
      </c>
      <c r="H65" s="1380" t="s">
        <v>7916</v>
      </c>
      <c r="I65" s="1380" t="s">
        <v>7917</v>
      </c>
      <c r="J65" s="1381" t="s">
        <v>7918</v>
      </c>
      <c r="K65" s="1382" t="s">
        <v>7900</v>
      </c>
      <c r="L65" s="1383" t="s">
        <v>148</v>
      </c>
      <c r="M65" s="1384" t="s">
        <v>7919</v>
      </c>
      <c r="Q65" s="1175"/>
      <c r="R65" s="1176"/>
      <c r="S65" s="1176"/>
      <c r="T65" s="1176"/>
      <c r="U65" s="71"/>
      <c r="V65" s="1176"/>
      <c r="W65" s="71"/>
      <c r="X65" s="71"/>
      <c r="Y65" s="1348"/>
      <c r="Z65" s="1293" t="s">
        <v>148</v>
      </c>
      <c r="AA65" s="1179">
        <f ca="1">AA63+AA64</f>
        <v>1850042.0000000002</v>
      </c>
      <c r="AB65" s="1179"/>
      <c r="AC65" s="1350">
        <f>AC43+AC44</f>
        <v>54165.798059282919</v>
      </c>
      <c r="AD65" s="1374" t="s">
        <v>593</v>
      </c>
      <c r="AE65" s="1176"/>
      <c r="AF65" s="1176"/>
    </row>
    <row r="66" spans="3:32" hidden="1">
      <c r="C66" s="1176"/>
      <c r="D66" s="1176"/>
      <c r="E66" s="1174" t="s">
        <v>586</v>
      </c>
      <c r="F66" s="1385">
        <v>84</v>
      </c>
      <c r="G66" s="1176"/>
      <c r="H66" s="1176"/>
      <c r="I66" s="1386"/>
      <c r="J66" s="1386"/>
      <c r="K66" s="1387">
        <f t="shared" ref="K66:K68" si="59">R59-SUM(F66:J66)</f>
        <v>102</v>
      </c>
      <c r="L66" s="1388">
        <f t="shared" ref="L66:L68" si="60">F66+K66</f>
        <v>186</v>
      </c>
      <c r="N66" s="1389">
        <v>45.56</v>
      </c>
      <c r="O66" s="1176" t="s">
        <v>7920</v>
      </c>
      <c r="Q66" s="1175"/>
      <c r="R66" s="1176"/>
      <c r="S66" s="1176"/>
      <c r="T66" s="1176"/>
      <c r="U66" s="71"/>
      <c r="V66" s="1176"/>
      <c r="W66" s="71"/>
      <c r="X66" s="71"/>
      <c r="Y66" s="1348"/>
      <c r="Z66" s="1293"/>
      <c r="AA66" s="1179"/>
      <c r="AB66" s="1179"/>
      <c r="AC66" s="1390">
        <f>SUM(AC47:AC51)</f>
        <v>725219.71640502615</v>
      </c>
      <c r="AD66" s="1374" t="s">
        <v>594</v>
      </c>
      <c r="AE66" s="1176"/>
      <c r="AF66" s="1176"/>
    </row>
    <row r="67" spans="3:32" hidden="1">
      <c r="C67" s="1176"/>
      <c r="D67" s="1176"/>
      <c r="E67" s="1174" t="s">
        <v>588</v>
      </c>
      <c r="F67" s="1385">
        <v>66</v>
      </c>
      <c r="G67" s="1176"/>
      <c r="H67" s="1176"/>
      <c r="I67" s="1386"/>
      <c r="J67" s="1386"/>
      <c r="K67" s="1387">
        <f t="shared" si="59"/>
        <v>154</v>
      </c>
      <c r="L67" s="1388">
        <f t="shared" si="60"/>
        <v>220</v>
      </c>
      <c r="N67" s="1391">
        <v>164</v>
      </c>
      <c r="O67" s="1176" t="s">
        <v>7921</v>
      </c>
      <c r="Q67" s="1175"/>
      <c r="R67" s="1176"/>
      <c r="S67" s="1176"/>
      <c r="T67" s="1176"/>
      <c r="U67" s="71"/>
      <c r="V67" s="1176"/>
      <c r="W67" s="71"/>
      <c r="X67" s="71"/>
      <c r="Y67" s="1348"/>
      <c r="Z67" s="1293" t="s">
        <v>224</v>
      </c>
      <c r="AA67" s="1179">
        <f ca="1">AA7</f>
        <v>1850042</v>
      </c>
      <c r="AB67" s="1179"/>
      <c r="AC67" s="1350">
        <f>SUM(AC64:AC66)</f>
        <v>1067193.7078835568</v>
      </c>
      <c r="AD67" s="1374" t="s">
        <v>595</v>
      </c>
      <c r="AE67" s="1176"/>
      <c r="AF67" s="1176"/>
    </row>
    <row r="68" spans="3:32" hidden="1">
      <c r="C68" s="1176"/>
      <c r="D68" s="1176"/>
      <c r="E68" s="1174" t="s">
        <v>590</v>
      </c>
      <c r="F68" s="1385">
        <v>22</v>
      </c>
      <c r="G68" s="1176"/>
      <c r="H68" s="1176"/>
      <c r="I68" s="1176"/>
      <c r="J68" s="1176"/>
      <c r="K68" s="1387">
        <f t="shared" si="59"/>
        <v>49</v>
      </c>
      <c r="L68" s="1388">
        <f t="shared" si="60"/>
        <v>71</v>
      </c>
      <c r="M68" s="1176"/>
      <c r="N68" s="1392">
        <f>N66/N67</f>
        <v>0.27780487804878051</v>
      </c>
      <c r="O68" s="1176" t="s">
        <v>7922</v>
      </c>
      <c r="Q68" s="1175"/>
      <c r="R68" s="1176"/>
      <c r="S68" s="1176"/>
      <c r="T68" s="1176"/>
      <c r="U68" s="71"/>
      <c r="V68" s="1176"/>
      <c r="W68" s="71"/>
      <c r="X68" s="71"/>
      <c r="Y68" s="1393"/>
      <c r="Z68" s="1394" t="s">
        <v>183</v>
      </c>
      <c r="AA68" s="1377">
        <f ca="1">AA67-AA65</f>
        <v>0</v>
      </c>
      <c r="AB68" s="1377"/>
      <c r="AC68" s="1390">
        <f>AC67-AC63</f>
        <v>-3.2596290111541748E-9</v>
      </c>
      <c r="AD68" s="1374" t="s">
        <v>183</v>
      </c>
      <c r="AE68" s="1176"/>
      <c r="AF68" s="1176"/>
    </row>
  </sheetData>
  <sheetProtection selectLockedCells="1" selectUnlockedCells="1"/>
  <mergeCells count="15">
    <mergeCell ref="C56:E56"/>
    <mergeCell ref="F56:H56"/>
    <mergeCell ref="I56:K56"/>
    <mergeCell ref="L56:N56"/>
    <mergeCell ref="O56:Q56"/>
    <mergeCell ref="Y58:Z58"/>
    <mergeCell ref="C2:S2"/>
    <mergeCell ref="C3:S3"/>
    <mergeCell ref="C4:S4"/>
    <mergeCell ref="C5:S5"/>
    <mergeCell ref="C6:E6"/>
    <mergeCell ref="F6:H6"/>
    <mergeCell ref="I6:K6"/>
    <mergeCell ref="L6:N6"/>
    <mergeCell ref="O6:Q6"/>
  </mergeCells>
  <printOptions horizontalCentered="1"/>
  <pageMargins left="0.35" right="0.35" top="0.5" bottom="0.5" header="0.51180555555555551" footer="0.51180555555555551"/>
  <pageSetup scale="64" firstPageNumber="0" orientation="landscape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2"/>
  <sheetViews>
    <sheetView topLeftCell="D17" workbookViewId="0"/>
  </sheetViews>
  <sheetFormatPr defaultRowHeight="12.75"/>
  <cols>
    <col min="1" max="3" width="0" hidden="1" customWidth="1"/>
    <col min="4" max="4" width="7.85546875" customWidth="1"/>
    <col min="5" max="5" width="14.7109375" customWidth="1"/>
    <col min="6" max="6" width="15.7109375" customWidth="1"/>
    <col min="7" max="7" width="15.42578125" customWidth="1"/>
    <col min="8" max="8" width="17" customWidth="1"/>
  </cols>
  <sheetData>
    <row r="1" spans="1:9" hidden="1">
      <c r="A1" s="34" t="s">
        <v>52</v>
      </c>
      <c r="B1" s="34" t="s">
        <v>53</v>
      </c>
      <c r="C1" s="35" t="s">
        <v>31</v>
      </c>
      <c r="D1" s="34"/>
      <c r="E1" s="34"/>
      <c r="F1" s="34"/>
      <c r="G1" s="34"/>
      <c r="H1" s="34"/>
      <c r="I1" s="36"/>
    </row>
    <row r="2" spans="1:9" hidden="1">
      <c r="A2" s="34" t="s">
        <v>53</v>
      </c>
      <c r="B2" s="34" t="s">
        <v>54</v>
      </c>
      <c r="C2" s="35" t="s">
        <v>55</v>
      </c>
      <c r="D2" s="34"/>
      <c r="E2" s="34"/>
      <c r="F2" s="34"/>
      <c r="G2" s="34"/>
      <c r="H2" s="34"/>
      <c r="I2" s="36"/>
    </row>
    <row r="3" spans="1:9" hidden="1">
      <c r="A3" s="34" t="s">
        <v>31</v>
      </c>
      <c r="B3" s="34"/>
      <c r="C3" s="37" t="s">
        <v>56</v>
      </c>
      <c r="D3" s="34"/>
      <c r="E3" s="34"/>
      <c r="F3" s="34"/>
      <c r="G3" s="34"/>
      <c r="H3" s="34"/>
      <c r="I3" s="36"/>
    </row>
    <row r="4" spans="1:9" hidden="1">
      <c r="A4" s="34" t="s">
        <v>31</v>
      </c>
      <c r="B4" s="38"/>
      <c r="C4" s="35" t="s">
        <v>57</v>
      </c>
      <c r="D4" s="34"/>
      <c r="E4" s="34" t="s">
        <v>58</v>
      </c>
      <c r="F4" s="34"/>
      <c r="G4" s="34"/>
      <c r="H4" s="34"/>
      <c r="I4" s="36"/>
    </row>
    <row r="5" spans="1:9" hidden="1">
      <c r="A5" s="34" t="s">
        <v>31</v>
      </c>
      <c r="B5" s="38"/>
      <c r="C5" s="35" t="s">
        <v>59</v>
      </c>
      <c r="D5" s="34"/>
      <c r="E5" s="34"/>
      <c r="F5" s="34"/>
      <c r="G5" s="34"/>
      <c r="H5" s="34"/>
      <c r="I5" s="36"/>
    </row>
    <row r="6" spans="1:9" hidden="1">
      <c r="A6" s="34" t="s">
        <v>31</v>
      </c>
      <c r="B6" s="34"/>
      <c r="C6" s="35" t="str">
        <f>TEXT($C$3,"mm/dd/yyyy")</f>
        <v>02/29/16</v>
      </c>
      <c r="D6" s="34"/>
      <c r="E6" s="34"/>
      <c r="F6" s="34"/>
      <c r="G6" s="34"/>
      <c r="H6" s="34"/>
      <c r="I6" s="36"/>
    </row>
    <row r="7" spans="1:9" hidden="1">
      <c r="A7" s="34" t="s">
        <v>31</v>
      </c>
      <c r="B7" s="34"/>
      <c r="C7" s="39" t="str">
        <f>CONCATENATE("01/01/1911..",TEXT($C$3,"MM/DD/YYYY"))</f>
        <v>01/01/1911..02/29/16</v>
      </c>
      <c r="D7" s="34"/>
      <c r="E7" s="34"/>
      <c r="F7" s="34"/>
      <c r="G7" s="34"/>
      <c r="H7" s="34"/>
      <c r="I7" s="36"/>
    </row>
    <row r="8" spans="1:9" hidden="1">
      <c r="A8" s="34" t="s">
        <v>31</v>
      </c>
      <c r="B8" s="34"/>
      <c r="C8" s="40" t="s">
        <v>60</v>
      </c>
      <c r="D8" s="34"/>
      <c r="E8" s="34"/>
      <c r="F8" s="34"/>
      <c r="G8" s="34"/>
      <c r="H8" s="34"/>
      <c r="I8" s="36"/>
    </row>
    <row r="9" spans="1:9" hidden="1">
      <c r="A9" s="34" t="s">
        <v>31</v>
      </c>
      <c r="B9" s="34"/>
      <c r="C9" s="35" t="s">
        <v>61</v>
      </c>
      <c r="D9" s="34"/>
      <c r="E9" s="34"/>
      <c r="F9" s="34"/>
      <c r="G9" s="34"/>
      <c r="H9" s="34"/>
      <c r="I9" s="36"/>
    </row>
    <row r="10" spans="1:9" hidden="1">
      <c r="A10" s="34" t="s">
        <v>31</v>
      </c>
      <c r="B10" s="34"/>
      <c r="C10" s="34"/>
      <c r="D10" s="34"/>
      <c r="E10" s="34"/>
      <c r="F10" s="34"/>
      <c r="G10" s="34"/>
      <c r="H10" s="34"/>
      <c r="I10" s="36"/>
    </row>
    <row r="11" spans="1:9" hidden="1">
      <c r="A11" s="34" t="s">
        <v>31</v>
      </c>
      <c r="B11" s="38"/>
      <c r="C11" s="41"/>
      <c r="D11" s="34"/>
      <c r="E11" s="34"/>
      <c r="F11" s="34"/>
      <c r="G11" s="34"/>
      <c r="H11" s="34"/>
      <c r="I11" s="36"/>
    </row>
    <row r="12" spans="1:9" hidden="1">
      <c r="A12" s="34" t="s">
        <v>62</v>
      </c>
      <c r="B12" s="34"/>
      <c r="C12" s="42"/>
      <c r="D12" s="34"/>
      <c r="E12" s="34"/>
      <c r="F12" s="34"/>
      <c r="G12" s="34"/>
      <c r="H12" s="34"/>
      <c r="I12" s="36"/>
    </row>
    <row r="13" spans="1:9" hidden="1">
      <c r="A13" s="34" t="s">
        <v>62</v>
      </c>
      <c r="B13" s="34"/>
      <c r="C13" s="42"/>
      <c r="D13" s="34"/>
      <c r="E13" s="34"/>
      <c r="F13" s="34"/>
      <c r="G13" s="34"/>
      <c r="H13" s="34"/>
      <c r="I13" s="36"/>
    </row>
    <row r="14" spans="1:9" hidden="1">
      <c r="A14" s="34" t="s">
        <v>62</v>
      </c>
      <c r="B14" s="34"/>
      <c r="C14" s="42"/>
      <c r="D14" s="34"/>
      <c r="E14" s="34"/>
      <c r="F14" s="34"/>
      <c r="G14" s="34"/>
      <c r="H14" s="34"/>
      <c r="I14" s="36"/>
    </row>
    <row r="15" spans="1:9" hidden="1">
      <c r="A15" s="34" t="s">
        <v>62</v>
      </c>
      <c r="B15" s="34"/>
      <c r="C15" s="42"/>
      <c r="D15" s="34"/>
      <c r="E15" s="34"/>
      <c r="F15" s="34"/>
      <c r="G15" s="34"/>
      <c r="H15" s="34"/>
      <c r="I15" s="36"/>
    </row>
    <row r="16" spans="1:9" hidden="1">
      <c r="A16" s="34" t="s">
        <v>63</v>
      </c>
      <c r="B16" s="34"/>
      <c r="C16" s="42"/>
      <c r="D16" s="34"/>
      <c r="E16" s="34"/>
      <c r="F16" s="34"/>
      <c r="G16" s="34"/>
      <c r="H16" s="34"/>
      <c r="I16" s="36"/>
    </row>
    <row r="17" spans="1:9">
      <c r="A17" s="34"/>
      <c r="B17" s="34"/>
      <c r="C17" s="34"/>
      <c r="D17" s="34"/>
      <c r="E17" s="34"/>
      <c r="F17" s="34"/>
      <c r="G17" s="34"/>
      <c r="H17" s="34"/>
      <c r="I17" s="36"/>
    </row>
    <row r="18" spans="1:9">
      <c r="A18" s="34"/>
      <c r="B18" s="34"/>
      <c r="C18" s="34"/>
      <c r="D18" s="34"/>
      <c r="E18" s="36"/>
      <c r="F18" s="36"/>
      <c r="G18" s="36"/>
      <c r="H18" s="36"/>
      <c r="I18" s="36" t="s">
        <v>64</v>
      </c>
    </row>
    <row r="19" spans="1:9">
      <c r="A19" s="34"/>
      <c r="B19" s="34"/>
      <c r="C19" s="34"/>
      <c r="D19" s="43" t="s">
        <v>65</v>
      </c>
      <c r="E19" s="43" t="s">
        <v>66</v>
      </c>
      <c r="F19" s="43" t="s">
        <v>67</v>
      </c>
      <c r="G19" s="43" t="s">
        <v>68</v>
      </c>
      <c r="H19" s="43" t="s">
        <v>69</v>
      </c>
      <c r="I19" s="43" t="s">
        <v>70</v>
      </c>
    </row>
    <row r="21" spans="1:9">
      <c r="D21" s="34"/>
      <c r="E21" s="36" t="s">
        <v>71</v>
      </c>
      <c r="F21" s="36" t="s">
        <v>72</v>
      </c>
      <c r="G21" s="36" t="s">
        <v>73</v>
      </c>
      <c r="H21" s="36" t="s">
        <v>74</v>
      </c>
      <c r="I21" s="36"/>
    </row>
    <row r="22" spans="1:9">
      <c r="D22" s="44" t="s">
        <v>75</v>
      </c>
      <c r="E22" s="45">
        <v>1268161.1599999999</v>
      </c>
      <c r="F22" s="45">
        <v>-96031.66</v>
      </c>
      <c r="G22" s="45">
        <v>-590303.06000000006</v>
      </c>
      <c r="H22" s="45">
        <v>-581826.43999999994</v>
      </c>
      <c r="I22" s="44" t="str">
        <f t="shared" ref="I22:I27" si="0">IF((ABS(E22)+ABS(F22))+ABS(G22)+ABS(H22)=0,"..",D22)</f>
        <v>001</v>
      </c>
    </row>
    <row r="23" spans="1:9">
      <c r="A23" t="s">
        <v>76</v>
      </c>
      <c r="D23" s="44" t="str">
        <f>"201"</f>
        <v>201</v>
      </c>
      <c r="E23" s="45">
        <v>0</v>
      </c>
      <c r="F23" s="45">
        <v>0</v>
      </c>
      <c r="G23" s="45">
        <v>0</v>
      </c>
      <c r="H23" s="45">
        <v>0</v>
      </c>
      <c r="I23" s="44" t="str">
        <f t="shared" si="0"/>
        <v>..</v>
      </c>
    </row>
    <row r="24" spans="1:9">
      <c r="A24" t="s">
        <v>76</v>
      </c>
      <c r="D24" s="44" t="str">
        <f>"202"</f>
        <v>202</v>
      </c>
      <c r="E24" s="45">
        <v>0.01</v>
      </c>
      <c r="F24" s="45">
        <v>0</v>
      </c>
      <c r="G24" s="45">
        <v>-0.01</v>
      </c>
      <c r="H24" s="45">
        <v>0</v>
      </c>
      <c r="I24" s="44" t="str">
        <f t="shared" si="0"/>
        <v>202</v>
      </c>
    </row>
    <row r="25" spans="1:9">
      <c r="A25" t="s">
        <v>76</v>
      </c>
      <c r="D25" s="44" t="str">
        <f>"203"</f>
        <v>203</v>
      </c>
      <c r="E25" s="45">
        <v>1695234.29</v>
      </c>
      <c r="F25" s="45">
        <v>-4294.16</v>
      </c>
      <c r="G25" s="45">
        <v>-1129554.4099999999</v>
      </c>
      <c r="H25" s="45">
        <v>-561385.72</v>
      </c>
      <c r="I25" s="44" t="str">
        <f t="shared" si="0"/>
        <v>203</v>
      </c>
    </row>
    <row r="26" spans="1:9">
      <c r="A26" t="s">
        <v>76</v>
      </c>
      <c r="D26" s="44" t="str">
        <f>"204"</f>
        <v>204</v>
      </c>
      <c r="E26" s="45">
        <v>485289.74</v>
      </c>
      <c r="F26" s="45">
        <v>0</v>
      </c>
      <c r="G26" s="45">
        <v>-356773.96</v>
      </c>
      <c r="H26" s="45">
        <v>-128515.78</v>
      </c>
      <c r="I26" s="44" t="str">
        <f t="shared" si="0"/>
        <v>204</v>
      </c>
    </row>
    <row r="27" spans="1:9">
      <c r="A27" t="s">
        <v>76</v>
      </c>
      <c r="D27" s="44" t="str">
        <f>"401"</f>
        <v>401</v>
      </c>
      <c r="E27" s="45">
        <v>0</v>
      </c>
      <c r="F27" s="45">
        <v>0</v>
      </c>
      <c r="G27" s="45">
        <v>0</v>
      </c>
      <c r="H27" s="45">
        <v>0</v>
      </c>
      <c r="I27" s="44" t="str">
        <f t="shared" si="0"/>
        <v>..</v>
      </c>
    </row>
    <row r="28" spans="1:9">
      <c r="D28" s="34"/>
      <c r="E28" s="34"/>
      <c r="F28" s="34"/>
      <c r="G28" s="34"/>
      <c r="H28" s="34"/>
      <c r="I28" s="36"/>
    </row>
    <row r="29" spans="1:9">
      <c r="D29" s="34"/>
      <c r="E29" s="34"/>
      <c r="F29" s="34"/>
      <c r="G29" s="34"/>
      <c r="H29" s="34"/>
      <c r="I29" s="46" t="s">
        <v>77</v>
      </c>
    </row>
    <row r="30" spans="1:9">
      <c r="D30" s="34"/>
      <c r="E30" s="34"/>
      <c r="F30" s="34"/>
      <c r="G30" s="34"/>
      <c r="H30" s="34"/>
      <c r="I30" s="46" t="str">
        <f>SUBSTITUTE(I29,"..|","")</f>
        <v>001|202|203|204|</v>
      </c>
    </row>
    <row r="31" spans="1:9">
      <c r="D31" s="34"/>
      <c r="E31" s="34"/>
      <c r="F31" s="34"/>
      <c r="G31" s="34"/>
      <c r="H31" s="34"/>
      <c r="I31" s="47">
        <f>LEN(I30)</f>
        <v>16</v>
      </c>
    </row>
    <row r="32" spans="1:9">
      <c r="D32" s="34"/>
      <c r="E32" s="34"/>
      <c r="F32" s="34"/>
      <c r="G32" s="34"/>
      <c r="H32" s="34"/>
      <c r="I32" s="36" t="str">
        <f>IF(LEFT(I30,I31-1)="",0,LEFT(I30,I31-1))</f>
        <v>001|202|203|204</v>
      </c>
    </row>
    <row r="37" spans="6:6">
      <c r="F37" t="s">
        <v>78</v>
      </c>
    </row>
    <row r="39" spans="6:6">
      <c r="F39" s="46" t="s">
        <v>79</v>
      </c>
    </row>
    <row r="40" spans="6:6">
      <c r="F40" s="46" t="str">
        <f>SUBSTITUTE(F39,"!/","")</f>
        <v>To be reclassed/</v>
      </c>
    </row>
    <row r="41" spans="6:6">
      <c r="F41" s="46">
        <f>LEN(F40)</f>
        <v>16</v>
      </c>
    </row>
    <row r="42" spans="6:6">
      <c r="F42" s="36" t="str">
        <f>IF(ISERROR(IF(LEFT(F40,F41-1)="","",LEFT(F40,F41-1))),"",(IF(LEFT(F40,F41-1)="","",LEFT(F40,F41-1))))</f>
        <v>To be reclassed</v>
      </c>
    </row>
  </sheetData>
  <sheetProtection sheet="1" objects="1" scenarios="1"/>
  <printOptions horizontalCentered="1"/>
  <pageMargins left="0.75" right="0.75" top="1.5333333333333332" bottom="1.1777777777777776" header="0.4" footer="0.35"/>
  <pageSetup firstPageNumber="0" orientation="portrait" horizontalDpi="300" verticalDpi="300"/>
  <headerFooter alignWithMargins="0">
    <oddHeader>&amp;L&amp;"Arial black,Bold"&amp;12HARMONY CENTRAL
Community Development District</oddHeader>
    <oddFooter>&amp;L&amp;8     Fiscal Year 2016
&amp;10     Annual Operating and Debt Service Budget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8"/>
  <sheetViews>
    <sheetView topLeftCell="B2" workbookViewId="0">
      <selection activeCell="D18" sqref="D18"/>
    </sheetView>
  </sheetViews>
  <sheetFormatPr defaultRowHeight="12.75"/>
  <cols>
    <col min="1" max="1" width="0" hidden="1" customWidth="1"/>
    <col min="3" max="3" width="30.42578125" customWidth="1"/>
    <col min="4" max="4" width="16.5703125" customWidth="1"/>
    <col min="5" max="5" width="11.7109375" customWidth="1"/>
    <col min="9" max="9" width="10.42578125" customWidth="1"/>
  </cols>
  <sheetData>
    <row r="1" spans="1:10" hidden="1">
      <c r="A1" t="s">
        <v>80</v>
      </c>
      <c r="C1" t="s">
        <v>81</v>
      </c>
      <c r="D1" t="s">
        <v>82</v>
      </c>
      <c r="E1" t="s">
        <v>83</v>
      </c>
    </row>
    <row r="3" spans="1:10">
      <c r="A3" t="s">
        <v>84</v>
      </c>
      <c r="C3" t="s">
        <v>85</v>
      </c>
      <c r="D3" s="48" t="str">
        <f>"HARMONY CDD"</f>
        <v>HARMONY CDD</v>
      </c>
      <c r="E3" t="s">
        <v>83</v>
      </c>
    </row>
    <row r="4" spans="1:10">
      <c r="A4" t="s">
        <v>84</v>
      </c>
      <c r="C4" t="s">
        <v>86</v>
      </c>
      <c r="D4" s="48" t="str">
        <f>"2017"</f>
        <v>2017</v>
      </c>
    </row>
    <row r="5" spans="1:10">
      <c r="A5" t="s">
        <v>84</v>
      </c>
      <c r="C5" t="s">
        <v>87</v>
      </c>
      <c r="D5" s="49" t="str">
        <f>"02/29/16"</f>
        <v>02/29/16</v>
      </c>
    </row>
    <row r="6" spans="1:10">
      <c r="A6" t="s">
        <v>84</v>
      </c>
      <c r="C6" t="s">
        <v>65</v>
      </c>
      <c r="D6" s="50" t="s">
        <v>60</v>
      </c>
      <c r="E6" t="s">
        <v>83</v>
      </c>
    </row>
    <row r="7" spans="1:10">
      <c r="A7" t="s">
        <v>84</v>
      </c>
      <c r="C7" t="s">
        <v>88</v>
      </c>
      <c r="D7" s="48" t="str">
        <f t="shared" ref="D7:D8" si="0">"1"</f>
        <v>1</v>
      </c>
      <c r="E7" t="s">
        <v>83</v>
      </c>
      <c r="F7">
        <v>0</v>
      </c>
      <c r="G7">
        <v>1</v>
      </c>
      <c r="H7">
        <v>2</v>
      </c>
      <c r="I7">
        <v>3</v>
      </c>
      <c r="J7">
        <v>4</v>
      </c>
    </row>
    <row r="8" spans="1:10">
      <c r="A8" t="s">
        <v>84</v>
      </c>
      <c r="C8" t="s">
        <v>89</v>
      </c>
      <c r="D8" s="48" t="str">
        <f t="shared" si="0"/>
        <v>1</v>
      </c>
      <c r="E8" t="s">
        <v>83</v>
      </c>
      <c r="F8">
        <v>0</v>
      </c>
      <c r="G8">
        <v>1</v>
      </c>
      <c r="H8">
        <v>2</v>
      </c>
    </row>
    <row r="9" spans="1:10">
      <c r="A9" t="s">
        <v>84</v>
      </c>
      <c r="C9" t="s">
        <v>90</v>
      </c>
      <c r="D9" s="48" t="s">
        <v>91</v>
      </c>
      <c r="E9" t="s">
        <v>83</v>
      </c>
      <c r="F9" t="s">
        <v>91</v>
      </c>
      <c r="G9" t="s">
        <v>92</v>
      </c>
    </row>
    <row r="10" spans="1:10">
      <c r="A10" t="s">
        <v>84</v>
      </c>
      <c r="C10" t="s">
        <v>93</v>
      </c>
      <c r="D10" s="48" t="s">
        <v>91</v>
      </c>
      <c r="E10" t="s">
        <v>83</v>
      </c>
      <c r="F10" t="s">
        <v>91</v>
      </c>
      <c r="G10" t="s">
        <v>92</v>
      </c>
    </row>
    <row r="11" spans="1:10">
      <c r="A11" t="s">
        <v>84</v>
      </c>
      <c r="C11" t="s">
        <v>94</v>
      </c>
      <c r="D11" s="48" t="s">
        <v>92</v>
      </c>
      <c r="E11" t="s">
        <v>83</v>
      </c>
      <c r="F11" t="s">
        <v>91</v>
      </c>
      <c r="G11" t="s">
        <v>92</v>
      </c>
    </row>
    <row r="12" spans="1:10">
      <c r="A12" t="s">
        <v>84</v>
      </c>
      <c r="C12" t="s">
        <v>95</v>
      </c>
      <c r="D12" s="48" t="s">
        <v>92</v>
      </c>
      <c r="E12" t="s">
        <v>83</v>
      </c>
      <c r="F12" t="s">
        <v>91</v>
      </c>
      <c r="G12" t="s">
        <v>92</v>
      </c>
    </row>
    <row r="13" spans="1:10">
      <c r="A13" t="s">
        <v>84</v>
      </c>
      <c r="C13" t="s">
        <v>96</v>
      </c>
      <c r="D13" s="48" t="s">
        <v>92</v>
      </c>
      <c r="E13" t="s">
        <v>83</v>
      </c>
      <c r="F13" t="s">
        <v>91</v>
      </c>
      <c r="G13" t="s">
        <v>92</v>
      </c>
    </row>
    <row r="14" spans="1:10">
      <c r="A14" t="s">
        <v>84</v>
      </c>
      <c r="C14" t="s">
        <v>97</v>
      </c>
      <c r="D14" s="48" t="s">
        <v>92</v>
      </c>
      <c r="E14" t="s">
        <v>83</v>
      </c>
      <c r="F14" t="s">
        <v>91</v>
      </c>
      <c r="G14" t="s">
        <v>92</v>
      </c>
    </row>
    <row r="15" spans="1:10">
      <c r="A15" t="s">
        <v>84</v>
      </c>
      <c r="C15" t="s">
        <v>98</v>
      </c>
      <c r="D15" s="50" t="s">
        <v>99</v>
      </c>
      <c r="E15" s="51" t="s">
        <v>83</v>
      </c>
    </row>
    <row r="16" spans="1:10">
      <c r="A16" t="s">
        <v>84</v>
      </c>
      <c r="C16" t="s">
        <v>100</v>
      </c>
      <c r="D16" s="48" t="s">
        <v>92</v>
      </c>
      <c r="E16" t="s">
        <v>83</v>
      </c>
      <c r="F16" t="s">
        <v>91</v>
      </c>
      <c r="G16" t="s">
        <v>92</v>
      </c>
    </row>
    <row r="17" spans="1:7">
      <c r="A17" t="s">
        <v>84</v>
      </c>
      <c r="C17" t="s">
        <v>101</v>
      </c>
      <c r="D17" s="48" t="s">
        <v>92</v>
      </c>
      <c r="E17" t="s">
        <v>83</v>
      </c>
      <c r="F17" t="s">
        <v>91</v>
      </c>
      <c r="G17" t="s">
        <v>92</v>
      </c>
    </row>
    <row r="18" spans="1:7">
      <c r="A18" t="s">
        <v>84</v>
      </c>
      <c r="C18" t="s">
        <v>102</v>
      </c>
      <c r="D18" s="48" t="s">
        <v>92</v>
      </c>
      <c r="E18" t="s">
        <v>83</v>
      </c>
      <c r="F18" t="s">
        <v>91</v>
      </c>
      <c r="G18" t="s">
        <v>92</v>
      </c>
    </row>
  </sheetData>
  <sheetProtection selectLockedCells="1" selectUnlockedCells="1"/>
  <printOptions horizontalCentered="1"/>
  <pageMargins left="0.75" right="0.75" top="1.3" bottom="0.9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0"/>
  <sheetViews>
    <sheetView topLeftCell="B2" zoomScale="130" zoomScaleNormal="130" zoomScaleSheetLayoutView="130" workbookViewId="0">
      <pane ySplit="3" topLeftCell="A5" activePane="bottomLeft" state="frozen"/>
      <selection activeCell="B2" sqref="B2"/>
      <selection pane="bottomLeft"/>
    </sheetView>
  </sheetViews>
  <sheetFormatPr defaultRowHeight="12"/>
  <cols>
    <col min="1" max="1" width="0" style="52" hidden="1" customWidth="1"/>
    <col min="2" max="2" width="4.28515625" style="52" customWidth="1"/>
    <col min="3" max="3" width="9.140625" style="52"/>
    <col min="4" max="4" width="21.85546875" style="52" customWidth="1"/>
    <col min="5" max="5" width="4.28515625" style="52" customWidth="1"/>
    <col min="6" max="6" width="9.140625" style="52"/>
    <col min="7" max="7" width="18.28515625" style="52" customWidth="1"/>
    <col min="8" max="8" width="11" style="52" customWidth="1"/>
    <col min="9" max="9" width="7.5703125" style="52" customWidth="1"/>
    <col min="10" max="16384" width="9.140625" style="52"/>
  </cols>
  <sheetData>
    <row r="1" spans="1:9" hidden="1">
      <c r="A1" s="52" t="s">
        <v>0</v>
      </c>
    </row>
    <row r="2" spans="1:9" ht="12.75">
      <c r="B2" s="1407" t="s">
        <v>103</v>
      </c>
      <c r="C2" s="1407"/>
      <c r="D2" s="1407"/>
      <c r="E2" s="1407"/>
      <c r="F2" s="1407"/>
      <c r="G2" s="1407"/>
      <c r="H2" s="1407"/>
      <c r="I2" s="1407"/>
    </row>
    <row r="3" spans="1:9">
      <c r="B3" s="53"/>
      <c r="C3" s="53"/>
      <c r="D3" s="53"/>
      <c r="E3" s="53"/>
      <c r="F3" s="53"/>
      <c r="G3" s="53"/>
      <c r="H3" s="53"/>
      <c r="I3" s="53"/>
    </row>
    <row r="4" spans="1:9" ht="15.75" customHeight="1">
      <c r="B4" s="53"/>
      <c r="C4" s="53"/>
      <c r="D4" s="53"/>
      <c r="E4" s="53"/>
      <c r="F4" s="53"/>
      <c r="G4" s="53"/>
      <c r="H4" s="53"/>
      <c r="I4" s="54" t="s">
        <v>104</v>
      </c>
    </row>
    <row r="5" spans="1:9" s="55" customFormat="1" ht="20.100000000000001" customHeight="1">
      <c r="B5" s="53"/>
      <c r="C5" s="53" t="s">
        <v>105</v>
      </c>
      <c r="D5" s="53"/>
      <c r="E5" s="53"/>
      <c r="F5" s="53"/>
      <c r="G5" s="53"/>
      <c r="H5" s="53"/>
      <c r="I5" s="56"/>
    </row>
    <row r="6" spans="1:9" ht="20.100000000000001" customHeight="1">
      <c r="B6" s="57"/>
      <c r="C6" s="58" t="s">
        <v>106</v>
      </c>
      <c r="D6" s="53"/>
      <c r="E6" s="53"/>
      <c r="F6" s="53"/>
      <c r="G6" s="53"/>
      <c r="H6" s="59" t="s">
        <v>107</v>
      </c>
      <c r="I6" s="56" t="s">
        <v>108</v>
      </c>
    </row>
    <row r="7" spans="1:9" s="55" customFormat="1" ht="21.95" customHeight="1">
      <c r="B7" s="57"/>
      <c r="C7" s="58" t="s">
        <v>109</v>
      </c>
      <c r="D7" s="53"/>
      <c r="E7" s="53"/>
      <c r="F7" s="53"/>
      <c r="G7" s="53"/>
      <c r="H7" s="59" t="s">
        <v>110</v>
      </c>
      <c r="I7" s="56" t="s">
        <v>111</v>
      </c>
    </row>
    <row r="8" spans="1:9" s="55" customFormat="1" ht="21.95" customHeight="1">
      <c r="B8" s="57"/>
      <c r="C8" s="58" t="s">
        <v>112</v>
      </c>
      <c r="D8" s="53"/>
      <c r="E8" s="53"/>
      <c r="F8" s="53"/>
      <c r="G8" s="53"/>
      <c r="H8" s="59" t="s">
        <v>113</v>
      </c>
      <c r="I8" s="56" t="s">
        <v>114</v>
      </c>
    </row>
    <row r="9" spans="1:9" s="55" customFormat="1" ht="21.95" customHeight="1">
      <c r="B9" s="53"/>
      <c r="C9" s="53"/>
      <c r="D9" s="53"/>
      <c r="E9" s="53"/>
      <c r="F9" s="53"/>
      <c r="G9" s="53"/>
      <c r="H9" s="53"/>
      <c r="I9" s="56"/>
    </row>
    <row r="10" spans="1:9" ht="20.100000000000001" customHeight="1">
      <c r="B10" s="60" t="s">
        <v>115</v>
      </c>
      <c r="C10" s="53"/>
      <c r="D10" s="53"/>
      <c r="E10" s="53"/>
      <c r="F10" s="53"/>
      <c r="G10" s="53"/>
      <c r="H10" s="53"/>
      <c r="I10" s="56"/>
    </row>
    <row r="11" spans="1:9" ht="20.100000000000001" customHeight="1">
      <c r="B11" s="60"/>
      <c r="C11" s="53" t="s">
        <v>116</v>
      </c>
      <c r="D11" s="53"/>
      <c r="E11" s="53"/>
      <c r="F11" s="53"/>
      <c r="G11" s="53"/>
      <c r="H11" s="53"/>
      <c r="I11" s="56"/>
    </row>
    <row r="12" spans="1:9" ht="20.100000000000001" customHeight="1">
      <c r="B12" s="57"/>
      <c r="C12" s="58" t="s">
        <v>106</v>
      </c>
      <c r="D12" s="53"/>
      <c r="E12" s="53"/>
      <c r="F12" s="53"/>
      <c r="G12" s="53"/>
      <c r="H12" s="59" t="s">
        <v>107</v>
      </c>
      <c r="I12" s="56" t="s">
        <v>117</v>
      </c>
    </row>
    <row r="13" spans="1:9" s="55" customFormat="1" ht="21.95" customHeight="1">
      <c r="B13" s="57"/>
      <c r="C13" s="58" t="s">
        <v>118</v>
      </c>
      <c r="D13" s="53"/>
      <c r="E13" s="53"/>
      <c r="F13" s="53"/>
      <c r="G13" s="53"/>
      <c r="H13" s="59" t="s">
        <v>119</v>
      </c>
      <c r="I13" s="56" t="s">
        <v>120</v>
      </c>
    </row>
    <row r="14" spans="1:9" s="55" customFormat="1" ht="21.95" customHeight="1">
      <c r="B14" s="57"/>
      <c r="C14" s="53" t="s">
        <v>121</v>
      </c>
      <c r="D14" s="53"/>
      <c r="E14" s="53"/>
      <c r="F14" s="53"/>
      <c r="G14" s="53"/>
      <c r="H14" s="53"/>
      <c r="I14" s="56"/>
    </row>
    <row r="15" spans="1:9" s="55" customFormat="1" ht="21.95" customHeight="1">
      <c r="B15" s="57"/>
      <c r="C15" s="58" t="s">
        <v>106</v>
      </c>
      <c r="D15" s="53"/>
      <c r="E15" s="53"/>
      <c r="F15" s="53"/>
      <c r="G15" s="53"/>
      <c r="H15" s="59" t="s">
        <v>107</v>
      </c>
      <c r="I15" s="56" t="s">
        <v>122</v>
      </c>
    </row>
    <row r="16" spans="1:9" s="55" customFormat="1" ht="21.95" customHeight="1">
      <c r="B16" s="57"/>
      <c r="C16" s="58" t="s">
        <v>118</v>
      </c>
      <c r="D16" s="53"/>
      <c r="E16" s="53"/>
      <c r="F16" s="53"/>
      <c r="G16" s="53"/>
      <c r="H16" s="59" t="s">
        <v>119</v>
      </c>
      <c r="I16" s="56" t="s">
        <v>123</v>
      </c>
    </row>
    <row r="17" spans="2:9" s="55" customFormat="1" ht="21.95" customHeight="1">
      <c r="B17" s="57"/>
      <c r="C17" s="61" t="s">
        <v>112</v>
      </c>
      <c r="D17" s="53"/>
      <c r="E17" s="53"/>
      <c r="F17" s="53"/>
      <c r="G17" s="53"/>
      <c r="H17" s="59" t="s">
        <v>124</v>
      </c>
      <c r="I17" s="56" t="s">
        <v>125</v>
      </c>
    </row>
    <row r="18" spans="2:9" s="55" customFormat="1" ht="21.95" customHeight="1">
      <c r="B18" s="53"/>
      <c r="C18" s="53"/>
      <c r="D18" s="53"/>
      <c r="E18" s="53"/>
      <c r="F18" s="53"/>
      <c r="G18" s="53"/>
      <c r="H18" s="53"/>
      <c r="I18" s="56"/>
    </row>
    <row r="19" spans="2:9" ht="20.100000000000001" customHeight="1">
      <c r="B19" s="60" t="s">
        <v>126</v>
      </c>
      <c r="C19" s="53"/>
      <c r="D19" s="53"/>
      <c r="E19" s="53"/>
      <c r="F19" s="53"/>
      <c r="G19" s="53"/>
      <c r="H19" s="53"/>
      <c r="I19" s="56"/>
    </row>
    <row r="20" spans="2:9" ht="20.100000000000001" customHeight="1">
      <c r="B20" s="57"/>
      <c r="C20" s="53" t="s">
        <v>127</v>
      </c>
      <c r="D20" s="53"/>
      <c r="E20" s="53"/>
      <c r="F20" s="53"/>
      <c r="G20" s="53"/>
      <c r="H20" s="59" t="s">
        <v>128</v>
      </c>
      <c r="I20" s="56" t="s">
        <v>129</v>
      </c>
    </row>
    <row r="21" spans="2:9" ht="21.95" customHeight="1">
      <c r="B21" s="53"/>
      <c r="C21" s="53"/>
      <c r="D21" s="53"/>
      <c r="E21" s="53"/>
      <c r="F21" s="53"/>
      <c r="G21" s="53"/>
      <c r="H21" s="53"/>
      <c r="I21" s="56"/>
    </row>
    <row r="22" spans="2:9" ht="21.95" customHeight="1">
      <c r="B22" s="53"/>
      <c r="C22" s="53"/>
      <c r="D22" s="53"/>
      <c r="E22" s="53"/>
      <c r="F22" s="53"/>
      <c r="G22" s="53"/>
      <c r="H22" s="53"/>
      <c r="I22" s="62"/>
    </row>
    <row r="26" spans="2:9" ht="15" customHeight="1"/>
    <row r="27" spans="2:9" ht="15" customHeight="1"/>
    <row r="28" spans="2:9" ht="15" customHeight="1"/>
    <row r="29" spans="2:9" ht="15" customHeight="1"/>
    <row r="30" spans="2:9" ht="15" customHeight="1"/>
  </sheetData>
  <sheetProtection selectLockedCells="1" selectUnlockedCells="1"/>
  <mergeCells count="1">
    <mergeCell ref="B2:I2"/>
  </mergeCells>
  <printOptions horizontalCentered="1"/>
  <pageMargins left="0.75" right="0.75" top="1.5333333333333332" bottom="0.76111111111111107" header="0.4" footer="0.51180555555555551"/>
  <pageSetup firstPageNumber="0" orientation="portrait" horizontalDpi="300" verticalDpi="300"/>
  <headerFooter alignWithMargins="0">
    <oddHeader>&amp;L&amp;"Arial black,Bold"&amp;12HARMONY
Community Development District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66"/>
  <sheetViews>
    <sheetView topLeftCell="B2" zoomScaleSheetLayoutView="100" workbookViewId="0"/>
  </sheetViews>
  <sheetFormatPr defaultRowHeight="15" customHeight="1"/>
  <cols>
    <col min="1" max="1" width="0" style="63" hidden="1" customWidth="1"/>
    <col min="2" max="2" width="11.140625" style="63" customWidth="1"/>
    <col min="3" max="16384" width="9.140625" style="63"/>
  </cols>
  <sheetData>
    <row r="1" spans="1:10" ht="15" hidden="1" customHeight="1">
      <c r="A1" s="63" t="s">
        <v>0</v>
      </c>
    </row>
    <row r="4" spans="1:10" ht="15" customHeight="1">
      <c r="J4" s="64"/>
    </row>
    <row r="8" spans="1:10" ht="15" customHeight="1">
      <c r="B8" s="63" t="s">
        <v>130</v>
      </c>
    </row>
    <row r="9" spans="1:10" ht="22.5" customHeight="1">
      <c r="B9" s="1408" t="str">
        <f>IF(OVERRIDE_DN="",CDD,OVERRIDE_DN)</f>
        <v>Harmony</v>
      </c>
      <c r="C9" s="1408"/>
      <c r="D9" s="1408"/>
      <c r="E9" s="1408"/>
      <c r="F9" s="1408"/>
      <c r="G9" s="1408"/>
      <c r="H9" s="1408"/>
      <c r="I9" s="1408"/>
      <c r="J9" s="1408"/>
    </row>
    <row r="10" spans="1:10" ht="16.5" customHeight="1">
      <c r="B10" s="1409" t="str">
        <f>IF(OVERRIDE_TYPE="",CDD_NAME,OVERRIDE_TYPE)</f>
        <v>Community Development District</v>
      </c>
      <c r="C10" s="1409"/>
      <c r="D10" s="1409"/>
      <c r="E10" s="1409"/>
      <c r="F10" s="1409"/>
      <c r="G10" s="1409"/>
      <c r="H10" s="1409"/>
      <c r="I10" s="1409"/>
      <c r="J10" s="1409"/>
    </row>
    <row r="12" spans="1:10" ht="20.100000000000001" customHeight="1">
      <c r="B12" s="65"/>
      <c r="C12" s="65"/>
      <c r="D12" s="65"/>
      <c r="E12" s="65"/>
      <c r="F12" s="65"/>
      <c r="G12" s="65"/>
      <c r="H12" s="65"/>
      <c r="I12" s="65"/>
      <c r="J12" s="65"/>
    </row>
    <row r="13" spans="1:10" ht="18.75" customHeight="1">
      <c r="B13" s="1410" t="s">
        <v>131</v>
      </c>
      <c r="C13" s="1410"/>
      <c r="D13" s="1410"/>
      <c r="E13" s="1410"/>
      <c r="F13" s="1410"/>
      <c r="G13" s="1410"/>
      <c r="H13" s="1410"/>
      <c r="I13" s="1410"/>
      <c r="J13" s="1410"/>
    </row>
    <row r="14" spans="1:10" ht="15" customHeight="1">
      <c r="B14" s="1411" t="str">
        <f>COVER_PAGE!B13</f>
        <v>Fiscal Year 2017</v>
      </c>
      <c r="C14" s="1411"/>
      <c r="D14" s="1411"/>
      <c r="E14" s="1411"/>
      <c r="F14" s="1411"/>
      <c r="G14" s="1411"/>
      <c r="H14" s="1411"/>
      <c r="I14" s="1411"/>
      <c r="J14" s="1411"/>
    </row>
    <row r="25" spans="2:10" ht="15" customHeight="1">
      <c r="J25" s="64"/>
    </row>
    <row r="26" spans="2:10" ht="22.5" customHeight="1">
      <c r="B26" s="1408" t="str">
        <f t="shared" ref="B26:B27" si="0">+B9</f>
        <v>Harmony</v>
      </c>
      <c r="C26" s="1408"/>
      <c r="D26" s="1408"/>
      <c r="E26" s="1408"/>
      <c r="F26" s="1408"/>
      <c r="G26" s="1408"/>
      <c r="H26" s="1408"/>
      <c r="I26" s="1408"/>
      <c r="J26" s="1408"/>
    </row>
    <row r="27" spans="2:10" ht="16.5" customHeight="1">
      <c r="B27" s="1409" t="str">
        <f t="shared" si="0"/>
        <v>Community Development District</v>
      </c>
      <c r="C27" s="1409"/>
      <c r="D27" s="1409"/>
      <c r="E27" s="1409"/>
      <c r="F27" s="1409"/>
      <c r="G27" s="1409"/>
      <c r="H27" s="1409"/>
      <c r="I27" s="1409"/>
      <c r="J27" s="1409"/>
    </row>
    <row r="29" spans="2:10" ht="20.100000000000001" customHeight="1"/>
    <row r="30" spans="2:10" ht="18.75" customHeight="1">
      <c r="B30" s="1410" t="s">
        <v>132</v>
      </c>
      <c r="C30" s="1410"/>
      <c r="D30" s="1410"/>
      <c r="E30" s="1410"/>
      <c r="F30" s="1410"/>
      <c r="G30" s="1410"/>
      <c r="H30" s="1410"/>
      <c r="I30" s="1410"/>
      <c r="J30" s="1410"/>
    </row>
    <row r="31" spans="2:10" ht="15" customHeight="1">
      <c r="B31" s="1411" t="str">
        <f>B14</f>
        <v>Fiscal Year 2017</v>
      </c>
      <c r="C31" s="1411"/>
      <c r="D31" s="1411"/>
      <c r="E31" s="1411"/>
      <c r="F31" s="1411"/>
      <c r="G31" s="1411"/>
      <c r="H31" s="1411"/>
      <c r="I31" s="1411"/>
      <c r="J31" s="1411"/>
    </row>
    <row r="32" spans="2:10" ht="15" customHeight="1">
      <c r="B32" s="66"/>
    </row>
    <row r="43" spans="2:10" ht="22.5" customHeight="1">
      <c r="B43" s="1408" t="str">
        <f t="shared" ref="B43:B44" si="1">B26</f>
        <v>Harmony</v>
      </c>
      <c r="C43" s="1408"/>
      <c r="D43" s="1408"/>
      <c r="E43" s="1408"/>
      <c r="F43" s="1408"/>
      <c r="G43" s="1408"/>
      <c r="H43" s="1408"/>
      <c r="I43" s="1408"/>
      <c r="J43" s="1408"/>
    </row>
    <row r="44" spans="2:10" ht="16.5" customHeight="1">
      <c r="B44" s="1409" t="str">
        <f t="shared" si="1"/>
        <v>Community Development District</v>
      </c>
      <c r="C44" s="1409"/>
      <c r="D44" s="1409"/>
      <c r="E44" s="1409"/>
      <c r="F44" s="1409"/>
      <c r="G44" s="1409"/>
      <c r="H44" s="1409"/>
      <c r="I44" s="1409"/>
      <c r="J44" s="1409"/>
    </row>
    <row r="46" spans="2:10" ht="20.100000000000001" customHeight="1"/>
    <row r="47" spans="2:10" ht="18.75" customHeight="1">
      <c r="B47" s="1410" t="s">
        <v>133</v>
      </c>
      <c r="C47" s="1410"/>
      <c r="D47" s="1410"/>
      <c r="E47" s="1410"/>
      <c r="F47" s="1410"/>
      <c r="G47" s="1410"/>
      <c r="H47" s="1410"/>
      <c r="I47" s="1410"/>
      <c r="J47" s="1410"/>
    </row>
    <row r="48" spans="2:10" ht="15" customHeight="1">
      <c r="B48" s="1411" t="str">
        <f>B31</f>
        <v>Fiscal Year 2017</v>
      </c>
      <c r="C48" s="1411"/>
      <c r="D48" s="1411"/>
      <c r="E48" s="1411"/>
      <c r="F48" s="1411"/>
      <c r="G48" s="1411"/>
      <c r="H48" s="1411"/>
      <c r="I48" s="1411"/>
      <c r="J48" s="1411"/>
    </row>
    <row r="49" spans="2:10" ht="16.5" customHeight="1">
      <c r="B49" s="66"/>
    </row>
    <row r="61" spans="2:10" ht="22.5" customHeight="1">
      <c r="B61" s="1408" t="str">
        <f t="shared" ref="B61:B62" si="2">B43</f>
        <v>Harmony</v>
      </c>
      <c r="C61" s="1408"/>
      <c r="D61" s="1408"/>
      <c r="E61" s="1408"/>
      <c r="F61" s="1408"/>
      <c r="G61" s="1408"/>
      <c r="H61" s="1408"/>
      <c r="I61" s="1408"/>
      <c r="J61" s="1408"/>
    </row>
    <row r="62" spans="2:10" ht="16.5" customHeight="1">
      <c r="B62" s="1409" t="str">
        <f t="shared" si="2"/>
        <v>Community Development District</v>
      </c>
      <c r="C62" s="1409"/>
      <c r="D62" s="1409"/>
      <c r="E62" s="1409"/>
      <c r="F62" s="1409"/>
      <c r="G62" s="1409"/>
      <c r="H62" s="1409"/>
      <c r="I62" s="1409"/>
      <c r="J62" s="1409"/>
    </row>
    <row r="64" spans="2:10" ht="20.100000000000001" customHeight="1"/>
    <row r="65" spans="2:10" ht="18.75" customHeight="1">
      <c r="B65" s="1410" t="s">
        <v>134</v>
      </c>
      <c r="C65" s="1410"/>
      <c r="D65" s="1410"/>
      <c r="E65" s="1410"/>
      <c r="F65" s="1410"/>
      <c r="G65" s="1410"/>
      <c r="H65" s="1410"/>
      <c r="I65" s="1410"/>
      <c r="J65" s="1410"/>
    </row>
    <row r="66" spans="2:10" ht="15" customHeight="1">
      <c r="B66" s="1411" t="str">
        <f>B48</f>
        <v>Fiscal Year 2017</v>
      </c>
      <c r="C66" s="1411"/>
      <c r="D66" s="1411"/>
      <c r="E66" s="1411"/>
      <c r="F66" s="1411"/>
      <c r="G66" s="1411"/>
      <c r="H66" s="1411"/>
      <c r="I66" s="1411"/>
      <c r="J66" s="1411"/>
    </row>
  </sheetData>
  <sheetProtection selectLockedCells="1" selectUnlockedCells="1"/>
  <mergeCells count="16">
    <mergeCell ref="B61:J61"/>
    <mergeCell ref="B62:J62"/>
    <mergeCell ref="B65:J65"/>
    <mergeCell ref="B66:J66"/>
    <mergeCell ref="B30:J30"/>
    <mergeCell ref="B31:J31"/>
    <mergeCell ref="B43:J43"/>
    <mergeCell ref="B44:J44"/>
    <mergeCell ref="B47:J47"/>
    <mergeCell ref="B48:J48"/>
    <mergeCell ref="B9:J9"/>
    <mergeCell ref="B10:J10"/>
    <mergeCell ref="B13:J13"/>
    <mergeCell ref="B14:J14"/>
    <mergeCell ref="B26:J26"/>
    <mergeCell ref="B27:J27"/>
  </mergeCells>
  <printOptions horizontalCentered="1"/>
  <pageMargins left="0.75" right="0.75" top="1.5" bottom="0.85" header="0.51180555555555551" footer="0.51180555555555551"/>
  <pageSetup firstPageNumber="0" orientation="portrait" horizontalDpi="300" verticalDpi="300"/>
  <headerFooter alignWithMargins="0"/>
  <rowBreaks count="3" manualBreakCount="3">
    <brk id="19" max="16383" man="1"/>
    <brk id="36" max="16383" man="1"/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W119"/>
  <sheetViews>
    <sheetView topLeftCell="A3" zoomScaleSheetLayoutView="75" workbookViewId="0">
      <pane ySplit="8" topLeftCell="A11" activePane="bottomLeft" state="frozen"/>
      <selection activeCell="A3" sqref="A3"/>
      <selection pane="bottomLeft"/>
    </sheetView>
  </sheetViews>
  <sheetFormatPr defaultRowHeight="12.75"/>
  <cols>
    <col min="1" max="1" width="7.7109375" style="67" customWidth="1"/>
    <col min="2" max="2" width="9" style="67" customWidth="1"/>
    <col min="3" max="3" width="0" style="68" hidden="1" customWidth="1"/>
    <col min="4" max="4" width="8.28515625" style="69" customWidth="1"/>
    <col min="5" max="6" width="13" style="67" customWidth="1"/>
    <col min="7" max="7" width="12.42578125" style="67" customWidth="1"/>
    <col min="8" max="9" width="13" style="67" customWidth="1"/>
    <col min="10" max="10" width="12.42578125" style="67" customWidth="1"/>
    <col min="11" max="12" width="13" style="67" customWidth="1"/>
    <col min="13" max="13" width="12.42578125" style="67" customWidth="1"/>
    <col min="14" max="15" width="13" style="67" customWidth="1"/>
    <col min="16" max="16" width="12.42578125" style="70" customWidth="1"/>
    <col min="17" max="17" width="12.28515625" style="67" customWidth="1"/>
    <col min="18" max="18" width="8.28515625" style="67" customWidth="1"/>
    <col min="19" max="19" width="9.42578125" style="67" customWidth="1"/>
    <col min="20" max="20" width="8.85546875" style="71" customWidth="1"/>
    <col min="21" max="21" width="10.7109375" style="67" customWidth="1"/>
    <col min="22" max="22" width="3.5703125" style="67" customWidth="1"/>
    <col min="23" max="23" width="11.42578125" style="71" customWidth="1"/>
    <col min="24" max="24" width="12.140625" style="71" customWidth="1"/>
    <col min="25" max="25" width="10.7109375" style="71" customWidth="1"/>
    <col min="26" max="27" width="16.42578125" style="67" customWidth="1"/>
    <col min="28" max="28" width="3.5703125" style="68" customWidth="1"/>
    <col min="29" max="29" width="19.85546875" style="67" customWidth="1"/>
    <col min="30" max="30" width="22.42578125" style="67" customWidth="1"/>
    <col min="31" max="31" width="19.85546875" style="72" customWidth="1"/>
    <col min="32" max="32" width="22.85546875" style="67" customWidth="1"/>
    <col min="33" max="33" width="15" style="67" customWidth="1"/>
    <col min="34" max="34" width="21.42578125" style="67" customWidth="1"/>
    <col min="35" max="35" width="26.85546875" style="67" customWidth="1"/>
    <col min="36" max="36" width="9.140625" style="67"/>
    <col min="37" max="37" width="13.85546875" style="67" customWidth="1"/>
    <col min="38" max="16384" width="9.140625" style="67"/>
  </cols>
  <sheetData>
    <row r="1" spans="1:49" hidden="1">
      <c r="A1" s="1412" t="s">
        <v>135</v>
      </c>
      <c r="B1" s="1412"/>
      <c r="C1" s="1412"/>
      <c r="D1" s="1412"/>
      <c r="E1" s="1412"/>
      <c r="F1" s="1412"/>
      <c r="G1" s="1412"/>
      <c r="H1" s="1412"/>
      <c r="I1" s="1412"/>
      <c r="J1" s="1412"/>
      <c r="K1" s="1412"/>
      <c r="L1" s="1412"/>
      <c r="M1" s="1412"/>
      <c r="N1" s="1412"/>
      <c r="O1" s="1412"/>
    </row>
    <row r="2" spans="1:49" ht="15.75" hidden="1">
      <c r="A2" s="1413" t="s">
        <v>136</v>
      </c>
      <c r="B2" s="1413"/>
      <c r="C2" s="1413"/>
      <c r="D2" s="1413"/>
      <c r="E2" s="1413"/>
      <c r="F2" s="1413"/>
      <c r="G2" s="1413"/>
      <c r="H2" s="1413"/>
      <c r="I2" s="1413"/>
      <c r="J2" s="1413"/>
      <c r="K2" s="1413"/>
      <c r="L2" s="1413"/>
      <c r="M2" s="1413"/>
      <c r="N2" s="1413"/>
      <c r="O2" s="1413"/>
      <c r="P2" s="1413"/>
      <c r="Q2" s="1413"/>
      <c r="R2" s="1413"/>
      <c r="AE2" s="74"/>
    </row>
    <row r="3" spans="1:49" ht="20.25">
      <c r="A3" s="1414" t="s">
        <v>137</v>
      </c>
      <c r="B3" s="1414"/>
      <c r="C3" s="1414"/>
      <c r="D3" s="1414"/>
      <c r="E3" s="1414"/>
      <c r="F3" s="1414"/>
      <c r="G3" s="1414"/>
      <c r="H3" s="1414"/>
      <c r="I3" s="1414"/>
      <c r="J3" s="1414"/>
      <c r="K3" s="1414"/>
      <c r="L3" s="1414"/>
      <c r="M3" s="1414"/>
      <c r="N3" s="1414"/>
      <c r="O3" s="1414"/>
      <c r="P3" s="1414"/>
      <c r="Q3" s="1414"/>
      <c r="R3" s="1414"/>
      <c r="AB3" s="67"/>
      <c r="AC3" s="75"/>
      <c r="AD3" s="73"/>
      <c r="AE3" s="76"/>
      <c r="AH3" s="67" t="s">
        <v>138</v>
      </c>
    </row>
    <row r="4" spans="1:49" ht="20.25">
      <c r="A4" s="1414" t="s">
        <v>139</v>
      </c>
      <c r="B4" s="1414"/>
      <c r="C4" s="1414"/>
      <c r="D4" s="1414"/>
      <c r="E4" s="1414"/>
      <c r="F4" s="1414"/>
      <c r="G4" s="1414"/>
      <c r="H4" s="1414"/>
      <c r="I4" s="1414"/>
      <c r="J4" s="1414"/>
      <c r="K4" s="1414"/>
      <c r="L4" s="1414"/>
      <c r="M4" s="1414"/>
      <c r="N4" s="1414"/>
      <c r="O4" s="1414"/>
      <c r="P4" s="1414"/>
      <c r="Q4" s="1414"/>
      <c r="R4" s="1414"/>
      <c r="U4" s="77"/>
      <c r="V4" s="77"/>
      <c r="Z4" s="77"/>
      <c r="AA4" s="77"/>
      <c r="AB4" s="77"/>
      <c r="AC4" s="78"/>
      <c r="AD4" s="68"/>
      <c r="AE4" s="76"/>
      <c r="AF4" s="79"/>
      <c r="AH4" s="67" t="s">
        <v>140</v>
      </c>
    </row>
    <row r="5" spans="1:49" hidden="1">
      <c r="A5" s="80"/>
      <c r="B5" s="80"/>
      <c r="P5" s="81"/>
      <c r="U5" s="77"/>
      <c r="V5" s="77"/>
      <c r="Z5" s="77"/>
      <c r="AA5" s="77"/>
      <c r="AB5" s="77"/>
      <c r="AC5" s="78"/>
      <c r="AD5" s="68"/>
      <c r="AE5" s="76"/>
      <c r="AH5" s="67" t="s">
        <v>141</v>
      </c>
    </row>
    <row r="6" spans="1:49" ht="15.75">
      <c r="A6" s="80"/>
      <c r="B6" s="80"/>
      <c r="P6" s="81"/>
      <c r="S6" s="82"/>
      <c r="T6" s="83"/>
      <c r="U6" s="84"/>
      <c r="V6" s="84"/>
      <c r="W6" s="83"/>
      <c r="X6" s="83"/>
      <c r="Y6" s="83"/>
      <c r="Z6" s="84"/>
      <c r="AA6" s="84"/>
      <c r="AB6" s="82"/>
      <c r="AC6" s="85" t="s">
        <v>142</v>
      </c>
      <c r="AD6" s="86">
        <f ca="1">'001'!AP247-'001'!AP38-'001'!AP52-'001'!AP97</f>
        <v>1854042</v>
      </c>
      <c r="AE6" s="87"/>
      <c r="AF6" s="84"/>
      <c r="AG6" s="84"/>
      <c r="AH6" s="84" t="s">
        <v>143</v>
      </c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</row>
    <row r="7" spans="1:49" s="84" customFormat="1" ht="18" customHeight="1">
      <c r="A7" s="88" t="s">
        <v>144</v>
      </c>
      <c r="B7" s="89"/>
      <c r="C7" s="90"/>
      <c r="D7" s="91"/>
      <c r="E7" s="1415" t="s">
        <v>145</v>
      </c>
      <c r="F7" s="1415"/>
      <c r="G7" s="1415"/>
      <c r="H7" s="1416" t="s">
        <v>146</v>
      </c>
      <c r="I7" s="1416"/>
      <c r="J7" s="1416"/>
      <c r="K7" s="1417" t="s">
        <v>147</v>
      </c>
      <c r="L7" s="1417"/>
      <c r="M7" s="1417"/>
      <c r="N7" s="1415" t="s">
        <v>148</v>
      </c>
      <c r="O7" s="1415"/>
      <c r="P7" s="1415"/>
      <c r="Q7" s="92"/>
      <c r="R7" s="93"/>
      <c r="S7" s="94"/>
      <c r="T7" s="95"/>
      <c r="U7" s="96" t="s">
        <v>149</v>
      </c>
      <c r="V7" s="96"/>
      <c r="W7" s="97"/>
      <c r="X7" s="98"/>
      <c r="Y7" s="99" t="s">
        <v>150</v>
      </c>
      <c r="Z7" s="100"/>
      <c r="AA7" s="100"/>
      <c r="AB7" s="100"/>
      <c r="AC7" s="101"/>
      <c r="AD7" s="102" t="s">
        <v>151</v>
      </c>
      <c r="AE7" s="103"/>
      <c r="AF7" s="100"/>
      <c r="AG7" s="100"/>
      <c r="AH7" s="67" t="s">
        <v>152</v>
      </c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</row>
    <row r="8" spans="1:49" s="100" customFormat="1" ht="18" customHeight="1">
      <c r="A8" s="104"/>
      <c r="B8" s="105"/>
      <c r="C8" s="106"/>
      <c r="D8" s="107"/>
      <c r="E8" s="108" t="s">
        <v>153</v>
      </c>
      <c r="F8" s="109" t="s">
        <v>154</v>
      </c>
      <c r="G8" s="110" t="s">
        <v>155</v>
      </c>
      <c r="H8" s="108" t="str">
        <f>N8</f>
        <v>FY 2017</v>
      </c>
      <c r="I8" s="109" t="str">
        <f>O8</f>
        <v>FY 2016</v>
      </c>
      <c r="J8" s="111" t="s">
        <v>155</v>
      </c>
      <c r="K8" s="108" t="str">
        <f>H8</f>
        <v>FY 2017</v>
      </c>
      <c r="L8" s="109" t="str">
        <f>I8</f>
        <v>FY 2016</v>
      </c>
      <c r="M8" s="110" t="s">
        <v>155</v>
      </c>
      <c r="N8" s="108" t="str">
        <f>E8</f>
        <v>FY 2017</v>
      </c>
      <c r="O8" s="109" t="str">
        <f>F8</f>
        <v>FY 2016</v>
      </c>
      <c r="P8" s="110" t="s">
        <v>155</v>
      </c>
      <c r="Q8" s="112"/>
      <c r="R8" s="113"/>
      <c r="S8" s="94"/>
      <c r="T8" s="95"/>
      <c r="U8" s="96" t="s">
        <v>156</v>
      </c>
      <c r="V8" s="96"/>
      <c r="W8" s="99" t="s">
        <v>157</v>
      </c>
      <c r="X8" s="98"/>
      <c r="Y8" s="99" t="s">
        <v>158</v>
      </c>
      <c r="Z8" s="114" t="s">
        <v>159</v>
      </c>
      <c r="AA8" s="114" t="s">
        <v>160</v>
      </c>
      <c r="AE8" s="115"/>
    </row>
    <row r="9" spans="1:49" s="100" customFormat="1" ht="45" customHeight="1">
      <c r="A9" s="116" t="s">
        <v>161</v>
      </c>
      <c r="B9" s="117"/>
      <c r="C9" s="118" t="s">
        <v>162</v>
      </c>
      <c r="D9" s="118" t="s">
        <v>163</v>
      </c>
      <c r="E9" s="119" t="s">
        <v>164</v>
      </c>
      <c r="F9" s="120" t="s">
        <v>164</v>
      </c>
      <c r="G9" s="121" t="s">
        <v>165</v>
      </c>
      <c r="H9" s="119" t="s">
        <v>166</v>
      </c>
      <c r="I9" s="120" t="s">
        <v>166</v>
      </c>
      <c r="J9" s="122" t="s">
        <v>167</v>
      </c>
      <c r="K9" s="119" t="s">
        <v>166</v>
      </c>
      <c r="L9" s="120" t="s">
        <v>166</v>
      </c>
      <c r="M9" s="121" t="s">
        <v>165</v>
      </c>
      <c r="N9" s="119" t="s">
        <v>148</v>
      </c>
      <c r="O9" s="120" t="s">
        <v>148</v>
      </c>
      <c r="P9" s="121" t="s">
        <v>165</v>
      </c>
      <c r="Q9" s="123" t="s">
        <v>168</v>
      </c>
      <c r="R9" s="124" t="s">
        <v>158</v>
      </c>
      <c r="S9" s="125" t="s">
        <v>158</v>
      </c>
      <c r="T9" s="126" t="s">
        <v>169</v>
      </c>
      <c r="U9" s="125" t="s">
        <v>170</v>
      </c>
      <c r="V9" s="125"/>
      <c r="W9" s="126" t="s">
        <v>171</v>
      </c>
      <c r="X9" s="126" t="s">
        <v>172</v>
      </c>
      <c r="Y9" s="126" t="s">
        <v>173</v>
      </c>
      <c r="Z9" s="125" t="s">
        <v>170</v>
      </c>
      <c r="AA9" s="125" t="s">
        <v>174</v>
      </c>
      <c r="AB9" s="125"/>
      <c r="AC9" s="125" t="s">
        <v>175</v>
      </c>
      <c r="AD9" s="125" t="s">
        <v>176</v>
      </c>
      <c r="AE9" s="127" t="s">
        <v>177</v>
      </c>
      <c r="AF9" s="128" t="s">
        <v>178</v>
      </c>
      <c r="AG9" s="129"/>
      <c r="AH9" s="129" t="s">
        <v>179</v>
      </c>
      <c r="AI9" s="130" t="s">
        <v>180</v>
      </c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</row>
    <row r="10" spans="1:49" s="129" customFormat="1" ht="24.6" hidden="1" customHeight="1">
      <c r="A10" s="131"/>
      <c r="B10" s="128"/>
      <c r="C10" s="132" t="s">
        <v>162</v>
      </c>
      <c r="D10" s="132"/>
      <c r="E10" s="133"/>
      <c r="F10" s="134"/>
      <c r="G10" s="135"/>
      <c r="H10" s="133"/>
      <c r="I10" s="134"/>
      <c r="J10" s="135"/>
      <c r="K10" s="133"/>
      <c r="L10" s="134"/>
      <c r="M10" s="135"/>
      <c r="N10" s="133"/>
      <c r="O10" s="134"/>
      <c r="P10" s="135"/>
      <c r="Q10" s="136" t="s">
        <v>168</v>
      </c>
      <c r="R10" s="137" t="s">
        <v>158</v>
      </c>
    </row>
    <row r="11" spans="1:49" s="100" customFormat="1" ht="18" customHeight="1">
      <c r="A11" s="138"/>
      <c r="B11" s="139"/>
      <c r="C11" s="140"/>
      <c r="D11" s="107"/>
      <c r="E11" s="141"/>
      <c r="F11" s="142"/>
      <c r="G11" s="143"/>
      <c r="H11" s="141"/>
      <c r="I11" s="142"/>
      <c r="J11" s="144"/>
      <c r="K11" s="141"/>
      <c r="L11" s="142"/>
      <c r="M11" s="143"/>
      <c r="N11" s="141"/>
      <c r="O11" s="142"/>
      <c r="P11" s="143"/>
      <c r="Q11" s="138"/>
      <c r="R11" s="145"/>
      <c r="S11" s="146"/>
      <c r="T11" s="98"/>
      <c r="W11" s="98"/>
      <c r="X11" s="98"/>
      <c r="Y11" s="98"/>
      <c r="AE11" s="147"/>
      <c r="AF11" s="148"/>
      <c r="AH11" s="149" t="s">
        <v>181</v>
      </c>
      <c r="AI11" s="150" t="s">
        <v>182</v>
      </c>
      <c r="AJ11" s="150" t="s">
        <v>183</v>
      </c>
      <c r="AK11" s="150" t="s">
        <v>184</v>
      </c>
    </row>
    <row r="12" spans="1:49" s="100" customFormat="1" ht="18" customHeight="1">
      <c r="A12" s="151" t="s">
        <v>185</v>
      </c>
      <c r="B12" s="152" t="s">
        <v>185</v>
      </c>
      <c r="C12" s="132" t="s">
        <v>186</v>
      </c>
      <c r="D12" s="128" t="s">
        <v>187</v>
      </c>
      <c r="E12" s="153">
        <f t="shared" ref="E12:E35" ca="1" si="0">ROUND(AC12/Q12,2)</f>
        <v>487.7</v>
      </c>
      <c r="F12" s="154">
        <v>486.65</v>
      </c>
      <c r="G12" s="155">
        <f t="shared" ref="G12:G39" ca="1" si="1">(+E12-F12)/F12</f>
        <v>2.1576081372649981E-3</v>
      </c>
      <c r="H12" s="153">
        <v>605.71463673480946</v>
      </c>
      <c r="I12" s="154">
        <v>605.71463673480946</v>
      </c>
      <c r="J12" s="155">
        <f t="shared" ref="J12:J39" si="2">(+H12-I12)/I12</f>
        <v>0</v>
      </c>
      <c r="K12" s="153">
        <v>0</v>
      </c>
      <c r="L12" s="154">
        <v>0</v>
      </c>
      <c r="M12" s="155">
        <v>0</v>
      </c>
      <c r="N12" s="153">
        <f t="shared" ref="N12:N40" ca="1" si="3">H12+E12</f>
        <v>1093.4146367348094</v>
      </c>
      <c r="O12" s="154">
        <f t="shared" ref="O12:O40" si="4">I12+F12</f>
        <v>1092.3646367348094</v>
      </c>
      <c r="P12" s="155">
        <f t="shared" ref="P12:P39" ca="1" si="5">(+N12-O12)/O12</f>
        <v>9.6121749522990125E-4</v>
      </c>
      <c r="Q12" s="156">
        <v>186</v>
      </c>
      <c r="R12" s="157"/>
      <c r="S12" s="146">
        <v>19.77</v>
      </c>
      <c r="T12" s="98"/>
      <c r="U12" s="158">
        <f>S12/S52</f>
        <v>4.5990935376542738E-2</v>
      </c>
      <c r="V12" s="158"/>
      <c r="W12" s="159">
        <f>S12/Q12</f>
        <v>0.10629032258064516</v>
      </c>
      <c r="X12" s="160">
        <v>2</v>
      </c>
      <c r="Y12" s="159">
        <f t="shared" ref="Y12:Y36" si="6">W12*X12</f>
        <v>0.21258064516129033</v>
      </c>
      <c r="Z12" s="161">
        <f t="shared" ref="Z12:Z39" si="7">W12*Q12-Y12</f>
        <v>19.557419354838711</v>
      </c>
      <c r="AA12" s="161"/>
      <c r="AB12" s="158"/>
      <c r="AC12" s="162">
        <f t="shared" ref="AC12:AC41" ca="1" si="8">AD$6*U12/0.94</f>
        <v>90711.835965314953</v>
      </c>
      <c r="AD12" s="163">
        <f t="shared" ref="AD12:AD40" si="9">H12*(Q12-X12)</f>
        <v>111451.49315920494</v>
      </c>
      <c r="AE12" s="147"/>
      <c r="AF12" s="162">
        <f t="shared" ref="AF12:AF41" si="10">SUM(AD12:AE12)</f>
        <v>111451.49315920494</v>
      </c>
      <c r="AG12" s="164"/>
      <c r="AH12" s="165">
        <v>111451.49315920494</v>
      </c>
      <c r="AI12" s="100">
        <v>184</v>
      </c>
      <c r="AJ12" s="166">
        <f t="shared" ref="AJ12:AJ39" si="11">AI12-(Q12-X12)</f>
        <v>0</v>
      </c>
      <c r="AK12" s="100">
        <f t="shared" ref="AK12:AK39" si="12">AJ12*H12</f>
        <v>0</v>
      </c>
    </row>
    <row r="13" spans="1:49" s="100" customFormat="1" ht="18" customHeight="1">
      <c r="A13" s="151" t="s">
        <v>188</v>
      </c>
      <c r="B13" s="152" t="s">
        <v>189</v>
      </c>
      <c r="C13" s="132" t="s">
        <v>188</v>
      </c>
      <c r="D13" s="128">
        <v>80</v>
      </c>
      <c r="E13" s="153">
        <f t="shared" ca="1" si="0"/>
        <v>1541.77</v>
      </c>
      <c r="F13" s="154">
        <v>1538.44</v>
      </c>
      <c r="G13" s="155">
        <f t="shared" ca="1" si="1"/>
        <v>2.1645303034242007E-3</v>
      </c>
      <c r="H13" s="153">
        <v>1914.8681554901182</v>
      </c>
      <c r="I13" s="154">
        <v>1914.8681554901182</v>
      </c>
      <c r="J13" s="155">
        <f t="shared" si="2"/>
        <v>0</v>
      </c>
      <c r="K13" s="153">
        <v>0</v>
      </c>
      <c r="L13" s="154">
        <v>0</v>
      </c>
      <c r="M13" s="155">
        <v>0</v>
      </c>
      <c r="N13" s="153">
        <f t="shared" ca="1" si="3"/>
        <v>3456.6381554901182</v>
      </c>
      <c r="O13" s="154">
        <f t="shared" si="4"/>
        <v>3453.3081554901182</v>
      </c>
      <c r="P13" s="155">
        <f t="shared" ca="1" si="5"/>
        <v>9.6429274482957622E-4</v>
      </c>
      <c r="Q13" s="156">
        <v>9</v>
      </c>
      <c r="R13" s="157"/>
      <c r="S13" s="146">
        <v>23.58</v>
      </c>
      <c r="T13" s="98">
        <f t="shared" ref="T13:T30" si="13">+D13*Q13</f>
        <v>720</v>
      </c>
      <c r="U13" s="158">
        <f t="shared" ref="U13:U17" si="14">(T13/SUM(T$13:T$17))*S$13/S$52</f>
        <v>7.0350868299371514E-3</v>
      </c>
      <c r="V13" s="158"/>
      <c r="W13" s="159">
        <f t="shared" ref="W13:W17" si="15">S$13*(T13/SUM(T$13:T$17))/Q13</f>
        <v>0.33601710010687563</v>
      </c>
      <c r="X13" s="160">
        <v>1</v>
      </c>
      <c r="Y13" s="159">
        <f t="shared" si="6"/>
        <v>0.33601710010687563</v>
      </c>
      <c r="Z13" s="161">
        <f t="shared" si="7"/>
        <v>2.6881368008550051</v>
      </c>
      <c r="AA13" s="161"/>
      <c r="AB13" s="158"/>
      <c r="AC13" s="162">
        <f t="shared" ca="1" si="8"/>
        <v>13875.900485479082</v>
      </c>
      <c r="AD13" s="163">
        <f t="shared" si="9"/>
        <v>15318.945243920945</v>
      </c>
      <c r="AE13" s="147"/>
      <c r="AF13" s="162">
        <f t="shared" si="10"/>
        <v>15318.945243920945</v>
      </c>
      <c r="AH13" s="165">
        <v>15318.945243920945</v>
      </c>
      <c r="AI13" s="100">
        <v>8</v>
      </c>
      <c r="AJ13" s="166">
        <f t="shared" si="11"/>
        <v>0</v>
      </c>
      <c r="AK13" s="100">
        <f t="shared" si="12"/>
        <v>0</v>
      </c>
    </row>
    <row r="14" spans="1:49" s="100" customFormat="1" ht="18" customHeight="1">
      <c r="A14" s="151"/>
      <c r="B14" s="152" t="s">
        <v>189</v>
      </c>
      <c r="C14" s="132" t="s">
        <v>190</v>
      </c>
      <c r="D14" s="128">
        <v>65</v>
      </c>
      <c r="E14" s="153">
        <f t="shared" ca="1" si="0"/>
        <v>1252.69</v>
      </c>
      <c r="F14" s="154">
        <v>1249.99</v>
      </c>
      <c r="G14" s="155">
        <f t="shared" ca="1" si="1"/>
        <v>2.1600172801382773E-3</v>
      </c>
      <c r="H14" s="153">
        <v>1555.8314743609492</v>
      </c>
      <c r="I14" s="154">
        <v>1555.8314743609492</v>
      </c>
      <c r="J14" s="155">
        <f t="shared" si="2"/>
        <v>0</v>
      </c>
      <c r="K14" s="153">
        <v>0</v>
      </c>
      <c r="L14" s="154">
        <v>0</v>
      </c>
      <c r="M14" s="155">
        <v>0</v>
      </c>
      <c r="N14" s="153">
        <f t="shared" ca="1" si="3"/>
        <v>2808.5214743609495</v>
      </c>
      <c r="O14" s="154">
        <f t="shared" si="4"/>
        <v>2805.8214743609492</v>
      </c>
      <c r="P14" s="155">
        <f t="shared" ca="1" si="5"/>
        <v>9.6228502941913716E-4</v>
      </c>
      <c r="Q14" s="156">
        <v>25</v>
      </c>
      <c r="R14" s="157"/>
      <c r="S14" s="146"/>
      <c r="T14" s="98">
        <f t="shared" si="13"/>
        <v>1625</v>
      </c>
      <c r="U14" s="158">
        <f t="shared" si="14"/>
        <v>1.5877800137010931E-2</v>
      </c>
      <c r="V14" s="158"/>
      <c r="W14" s="159">
        <f t="shared" si="15"/>
        <v>0.27301389383683644</v>
      </c>
      <c r="X14" s="160">
        <v>3</v>
      </c>
      <c r="Y14" s="159">
        <f t="shared" si="6"/>
        <v>0.81904168151050927</v>
      </c>
      <c r="Z14" s="161">
        <f t="shared" si="7"/>
        <v>6.0063056644104016</v>
      </c>
      <c r="AA14" s="161"/>
      <c r="AB14" s="158"/>
      <c r="AC14" s="162">
        <f t="shared" ca="1" si="8"/>
        <v>31317.136512365982</v>
      </c>
      <c r="AD14" s="163">
        <f t="shared" si="9"/>
        <v>34228.292435940879</v>
      </c>
      <c r="AE14" s="147"/>
      <c r="AF14" s="162">
        <f t="shared" si="10"/>
        <v>34228.292435940879</v>
      </c>
      <c r="AH14" s="165">
        <v>37339.955384662782</v>
      </c>
      <c r="AI14" s="100">
        <v>24</v>
      </c>
      <c r="AJ14" s="166">
        <f t="shared" si="11"/>
        <v>2</v>
      </c>
      <c r="AK14" s="100">
        <f t="shared" si="12"/>
        <v>3111.6629487218984</v>
      </c>
    </row>
    <row r="15" spans="1:49" s="100" customFormat="1" ht="18" customHeight="1">
      <c r="A15" s="151"/>
      <c r="B15" s="152" t="s">
        <v>189</v>
      </c>
      <c r="C15" s="132" t="s">
        <v>191</v>
      </c>
      <c r="D15" s="128">
        <v>52</v>
      </c>
      <c r="E15" s="153">
        <f t="shared" ca="1" si="0"/>
        <v>1002.15</v>
      </c>
      <c r="F15" s="154">
        <v>999.99</v>
      </c>
      <c r="G15" s="155">
        <f t="shared" ca="1" si="1"/>
        <v>2.1600216002159705E-3</v>
      </c>
      <c r="H15" s="153">
        <v>1244.6599089676652</v>
      </c>
      <c r="I15" s="154">
        <v>1244.6599089676652</v>
      </c>
      <c r="J15" s="155">
        <f t="shared" si="2"/>
        <v>0</v>
      </c>
      <c r="K15" s="153">
        <v>0</v>
      </c>
      <c r="L15" s="154">
        <v>0</v>
      </c>
      <c r="M15" s="155">
        <v>0</v>
      </c>
      <c r="N15" s="153">
        <f t="shared" ca="1" si="3"/>
        <v>2246.8099089676653</v>
      </c>
      <c r="O15" s="154">
        <f t="shared" si="4"/>
        <v>2244.6499089676654</v>
      </c>
      <c r="P15" s="155">
        <f t="shared" ca="1" si="5"/>
        <v>9.6228814630307214E-4</v>
      </c>
      <c r="Q15" s="156">
        <v>35</v>
      </c>
      <c r="R15" s="157"/>
      <c r="S15" s="146"/>
      <c r="T15" s="98">
        <f t="shared" si="13"/>
        <v>1820</v>
      </c>
      <c r="U15" s="158">
        <f t="shared" si="14"/>
        <v>1.7783136153452245E-2</v>
      </c>
      <c r="V15" s="158"/>
      <c r="W15" s="159">
        <f t="shared" si="15"/>
        <v>0.21841111506946917</v>
      </c>
      <c r="X15" s="160">
        <v>9</v>
      </c>
      <c r="Y15" s="159">
        <f t="shared" si="6"/>
        <v>1.9657000356252226</v>
      </c>
      <c r="Z15" s="161">
        <f t="shared" si="7"/>
        <v>5.6786889918061982</v>
      </c>
      <c r="AA15" s="161"/>
      <c r="AB15" s="158"/>
      <c r="AC15" s="162">
        <f t="shared" ca="1" si="8"/>
        <v>35075.192893849904</v>
      </c>
      <c r="AD15" s="163">
        <f t="shared" si="9"/>
        <v>32361.157633159295</v>
      </c>
      <c r="AE15" s="147"/>
      <c r="AF15" s="162">
        <f t="shared" si="10"/>
        <v>32361.157633159295</v>
      </c>
      <c r="AH15" s="165">
        <v>33605.817542126963</v>
      </c>
      <c r="AI15" s="100">
        <v>27</v>
      </c>
      <c r="AJ15" s="166">
        <f t="shared" si="11"/>
        <v>1</v>
      </c>
      <c r="AK15" s="100">
        <f t="shared" si="12"/>
        <v>1244.6599089676652</v>
      </c>
    </row>
    <row r="16" spans="1:49" s="100" customFormat="1" ht="18" customHeight="1">
      <c r="A16" s="151"/>
      <c r="B16" s="152" t="s">
        <v>189</v>
      </c>
      <c r="C16" s="132" t="s">
        <v>192</v>
      </c>
      <c r="D16" s="128">
        <v>42</v>
      </c>
      <c r="E16" s="153">
        <f t="shared" ca="1" si="0"/>
        <v>809.43</v>
      </c>
      <c r="F16" s="154">
        <v>807.68</v>
      </c>
      <c r="G16" s="155">
        <f t="shared" ca="1" si="1"/>
        <v>2.1666996830427892E-3</v>
      </c>
      <c r="H16" s="153">
        <v>1005.3079776827678</v>
      </c>
      <c r="I16" s="154">
        <v>1005.3079776827678</v>
      </c>
      <c r="J16" s="155">
        <f t="shared" si="2"/>
        <v>0</v>
      </c>
      <c r="K16" s="153">
        <v>0</v>
      </c>
      <c r="L16" s="154">
        <v>0</v>
      </c>
      <c r="M16" s="155">
        <v>0</v>
      </c>
      <c r="N16" s="153">
        <f t="shared" ca="1" si="3"/>
        <v>1814.7379776827679</v>
      </c>
      <c r="O16" s="154">
        <f t="shared" si="4"/>
        <v>1812.9879776827679</v>
      </c>
      <c r="P16" s="155">
        <f t="shared" ca="1" si="5"/>
        <v>9.6525736603985941E-4</v>
      </c>
      <c r="Q16" s="156">
        <v>22</v>
      </c>
      <c r="R16" s="157"/>
      <c r="S16" s="146"/>
      <c r="T16" s="98">
        <f t="shared" si="13"/>
        <v>924</v>
      </c>
      <c r="U16" s="158">
        <f t="shared" si="14"/>
        <v>9.0283614317526774E-3</v>
      </c>
      <c r="V16" s="158"/>
      <c r="W16" s="159">
        <f t="shared" si="15"/>
        <v>0.17640897755610971</v>
      </c>
      <c r="X16" s="160">
        <v>1</v>
      </c>
      <c r="Y16" s="159">
        <f t="shared" si="6"/>
        <v>0.17640897755610971</v>
      </c>
      <c r="Z16" s="161">
        <f t="shared" si="7"/>
        <v>3.704588528678304</v>
      </c>
      <c r="AA16" s="161"/>
      <c r="AB16" s="158"/>
      <c r="AC16" s="162">
        <f t="shared" ca="1" si="8"/>
        <v>17807.405623031489</v>
      </c>
      <c r="AD16" s="163">
        <f t="shared" si="9"/>
        <v>21111.467531338123</v>
      </c>
      <c r="AE16" s="147"/>
      <c r="AF16" s="162">
        <f t="shared" si="10"/>
        <v>21111.467531338123</v>
      </c>
      <c r="AH16" s="165">
        <v>22116.775509020892</v>
      </c>
      <c r="AI16" s="100">
        <v>22</v>
      </c>
      <c r="AJ16" s="166">
        <f t="shared" si="11"/>
        <v>1</v>
      </c>
      <c r="AK16" s="100">
        <f t="shared" si="12"/>
        <v>1005.3079776827678</v>
      </c>
    </row>
    <row r="17" spans="1:37" s="100" customFormat="1" ht="18" customHeight="1">
      <c r="A17" s="151"/>
      <c r="B17" s="152" t="s">
        <v>189</v>
      </c>
      <c r="C17" s="132" t="s">
        <v>193</v>
      </c>
      <c r="D17" s="128">
        <v>35</v>
      </c>
      <c r="E17" s="153">
        <f t="shared" ca="1" si="0"/>
        <v>674.52</v>
      </c>
      <c r="F17" s="154">
        <v>673.07</v>
      </c>
      <c r="G17" s="155">
        <f t="shared" ca="1" si="1"/>
        <v>2.1543078728808768E-3</v>
      </c>
      <c r="H17" s="153">
        <v>837.74932790078719</v>
      </c>
      <c r="I17" s="154">
        <v>837.74932790078719</v>
      </c>
      <c r="J17" s="155">
        <f t="shared" si="2"/>
        <v>0</v>
      </c>
      <c r="K17" s="153">
        <v>0</v>
      </c>
      <c r="L17" s="154">
        <v>0</v>
      </c>
      <c r="M17" s="155">
        <v>0</v>
      </c>
      <c r="N17" s="153">
        <f t="shared" ca="1" si="3"/>
        <v>1512.2693279007872</v>
      </c>
      <c r="O17" s="154">
        <f t="shared" si="4"/>
        <v>1510.8193279007874</v>
      </c>
      <c r="P17" s="155">
        <f t="shared" ca="1" si="5"/>
        <v>9.597441422824032E-4</v>
      </c>
      <c r="Q17" s="156">
        <v>15</v>
      </c>
      <c r="R17" s="157"/>
      <c r="S17" s="146"/>
      <c r="T17" s="98">
        <f t="shared" si="13"/>
        <v>525</v>
      </c>
      <c r="U17" s="158">
        <f t="shared" si="14"/>
        <v>5.1297508134958399E-3</v>
      </c>
      <c r="V17" s="158"/>
      <c r="W17" s="159">
        <f t="shared" si="15"/>
        <v>0.14700748129675809</v>
      </c>
      <c r="X17" s="160">
        <v>3</v>
      </c>
      <c r="Y17" s="159">
        <f t="shared" si="6"/>
        <v>0.44102244389027423</v>
      </c>
      <c r="Z17" s="161">
        <f t="shared" si="7"/>
        <v>1.7640897755610974</v>
      </c>
      <c r="AA17" s="161"/>
      <c r="AB17" s="158"/>
      <c r="AC17" s="162">
        <f t="shared" ca="1" si="8"/>
        <v>10117.844103995165</v>
      </c>
      <c r="AD17" s="163">
        <f t="shared" si="9"/>
        <v>10052.991934809446</v>
      </c>
      <c r="AE17" s="147"/>
      <c r="AF17" s="162">
        <f t="shared" si="10"/>
        <v>10052.991934809446</v>
      </c>
      <c r="AH17" s="165">
        <v>10052.991934809446</v>
      </c>
      <c r="AI17" s="100">
        <v>12</v>
      </c>
      <c r="AJ17" s="166">
        <f t="shared" si="11"/>
        <v>0</v>
      </c>
      <c r="AK17" s="100">
        <f t="shared" si="12"/>
        <v>0</v>
      </c>
    </row>
    <row r="18" spans="1:37" s="100" customFormat="1" ht="18" customHeight="1">
      <c r="A18" s="151" t="s">
        <v>194</v>
      </c>
      <c r="B18" s="152" t="s">
        <v>189</v>
      </c>
      <c r="C18" s="132" t="s">
        <v>188</v>
      </c>
      <c r="D18" s="128">
        <f t="shared" ref="D18:D30" si="16">D13</f>
        <v>80</v>
      </c>
      <c r="E18" s="153">
        <f t="shared" ca="1" si="0"/>
        <v>1516.43</v>
      </c>
      <c r="F18" s="154">
        <v>1513.17</v>
      </c>
      <c r="G18" s="155">
        <f t="shared" ca="1" si="1"/>
        <v>2.1544175472683114E-3</v>
      </c>
      <c r="H18" s="153">
        <v>1883.403144558582</v>
      </c>
      <c r="I18" s="154">
        <v>1883.403144558582</v>
      </c>
      <c r="J18" s="155">
        <f t="shared" si="2"/>
        <v>0</v>
      </c>
      <c r="K18" s="153">
        <v>0</v>
      </c>
      <c r="L18" s="154">
        <v>0</v>
      </c>
      <c r="M18" s="155">
        <v>0</v>
      </c>
      <c r="N18" s="153">
        <f t="shared" ca="1" si="3"/>
        <v>3399.8331445585818</v>
      </c>
      <c r="O18" s="154">
        <f t="shared" si="4"/>
        <v>3396.573144558582</v>
      </c>
      <c r="P18" s="155">
        <f t="shared" ca="1" si="5"/>
        <v>9.5979090137434167E-4</v>
      </c>
      <c r="Q18" s="156">
        <v>10</v>
      </c>
      <c r="R18" s="157"/>
      <c r="S18" s="146">
        <v>25.82</v>
      </c>
      <c r="T18" s="98">
        <f t="shared" si="13"/>
        <v>800</v>
      </c>
      <c r="U18" s="158">
        <f t="shared" ref="U18:U22" si="17">(T18/SUM(T$18:T$22))*S$18/S$52</f>
        <v>7.6883258362194585E-3</v>
      </c>
      <c r="V18" s="158"/>
      <c r="W18" s="159">
        <f t="shared" ref="W18:W22" si="18">S$18*(T18/SUM(T$18:T$22))/Q18</f>
        <v>0.33049600000000001</v>
      </c>
      <c r="X18" s="160">
        <v>2</v>
      </c>
      <c r="Y18" s="159">
        <f t="shared" si="6"/>
        <v>0.66099200000000002</v>
      </c>
      <c r="Z18" s="161">
        <f t="shared" si="7"/>
        <v>2.6439680000000001</v>
      </c>
      <c r="AA18" s="161"/>
      <c r="AB18" s="158"/>
      <c r="AC18" s="162">
        <f t="shared" ca="1" si="8"/>
        <v>15164.339372378721</v>
      </c>
      <c r="AD18" s="163">
        <f t="shared" si="9"/>
        <v>15067.225156468656</v>
      </c>
      <c r="AE18" s="147"/>
      <c r="AF18" s="162">
        <f t="shared" si="10"/>
        <v>15067.225156468656</v>
      </c>
      <c r="AH18" s="165">
        <v>15067.225156468656</v>
      </c>
      <c r="AI18" s="100">
        <v>8</v>
      </c>
      <c r="AJ18" s="166">
        <f t="shared" si="11"/>
        <v>0</v>
      </c>
      <c r="AK18" s="100">
        <f t="shared" si="12"/>
        <v>0</v>
      </c>
    </row>
    <row r="19" spans="1:37" s="100" customFormat="1" ht="18" customHeight="1">
      <c r="A19" s="151"/>
      <c r="B19" s="152" t="s">
        <v>189</v>
      </c>
      <c r="C19" s="132" t="s">
        <v>190</v>
      </c>
      <c r="D19" s="128">
        <f t="shared" si="16"/>
        <v>65</v>
      </c>
      <c r="E19" s="153">
        <f t="shared" ca="1" si="0"/>
        <v>1232.0999999999999</v>
      </c>
      <c r="F19" s="154">
        <v>1229.45</v>
      </c>
      <c r="G19" s="155">
        <f t="shared" ca="1" si="1"/>
        <v>2.1554353572734667E-3</v>
      </c>
      <c r="H19" s="153">
        <v>1530.2606628529361</v>
      </c>
      <c r="I19" s="154">
        <v>1530.2606628529361</v>
      </c>
      <c r="J19" s="155">
        <f t="shared" si="2"/>
        <v>0</v>
      </c>
      <c r="K19" s="153">
        <v>0</v>
      </c>
      <c r="L19" s="154">
        <v>0</v>
      </c>
      <c r="M19" s="155">
        <v>0</v>
      </c>
      <c r="N19" s="153">
        <f t="shared" ca="1" si="3"/>
        <v>2762.360662852936</v>
      </c>
      <c r="O19" s="154">
        <f t="shared" si="4"/>
        <v>2759.7106628529364</v>
      </c>
      <c r="P19" s="155">
        <f t="shared" ca="1" si="5"/>
        <v>9.6024559228977894E-4</v>
      </c>
      <c r="Q19" s="156">
        <v>30</v>
      </c>
      <c r="R19" s="157"/>
      <c r="S19" s="146"/>
      <c r="T19" s="98">
        <f t="shared" si="13"/>
        <v>1950</v>
      </c>
      <c r="U19" s="158">
        <f t="shared" si="17"/>
        <v>1.874029422578493E-2</v>
      </c>
      <c r="V19" s="158"/>
      <c r="W19" s="159">
        <f t="shared" si="18"/>
        <v>0.26852799999999999</v>
      </c>
      <c r="X19" s="160">
        <v>4</v>
      </c>
      <c r="Y19" s="159">
        <f t="shared" si="6"/>
        <v>1.074112</v>
      </c>
      <c r="Z19" s="161">
        <f t="shared" si="7"/>
        <v>6.9817280000000004</v>
      </c>
      <c r="AA19" s="161"/>
      <c r="AB19" s="158"/>
      <c r="AC19" s="162">
        <f t="shared" ca="1" si="8"/>
        <v>36963.077220173131</v>
      </c>
      <c r="AD19" s="163">
        <f t="shared" si="9"/>
        <v>39786.777234176341</v>
      </c>
      <c r="AE19" s="147"/>
      <c r="AF19" s="162">
        <f t="shared" si="10"/>
        <v>39786.777234176341</v>
      </c>
      <c r="AH19" s="165">
        <v>39786.777234176341</v>
      </c>
      <c r="AI19" s="100">
        <v>26</v>
      </c>
      <c r="AJ19" s="166">
        <f t="shared" si="11"/>
        <v>0</v>
      </c>
      <c r="AK19" s="100">
        <f t="shared" si="12"/>
        <v>0</v>
      </c>
    </row>
    <row r="20" spans="1:37" s="100" customFormat="1" ht="18" customHeight="1">
      <c r="A20" s="151"/>
      <c r="B20" s="152" t="s">
        <v>189</v>
      </c>
      <c r="C20" s="132" t="s">
        <v>191</v>
      </c>
      <c r="D20" s="128">
        <f t="shared" si="16"/>
        <v>52</v>
      </c>
      <c r="E20" s="153">
        <f t="shared" ca="1" si="0"/>
        <v>985.68</v>
      </c>
      <c r="F20" s="154">
        <v>983.56</v>
      </c>
      <c r="G20" s="155">
        <f t="shared" ca="1" si="1"/>
        <v>2.1554353572735825E-3</v>
      </c>
      <c r="H20" s="153">
        <v>1224.2102871227137</v>
      </c>
      <c r="I20" s="154">
        <v>1224.2102871227137</v>
      </c>
      <c r="J20" s="155">
        <f t="shared" si="2"/>
        <v>0</v>
      </c>
      <c r="K20" s="153">
        <v>0</v>
      </c>
      <c r="L20" s="154">
        <v>0</v>
      </c>
      <c r="M20" s="155">
        <v>0</v>
      </c>
      <c r="N20" s="153">
        <f t="shared" ca="1" si="3"/>
        <v>2209.8902871227137</v>
      </c>
      <c r="O20" s="154">
        <f t="shared" si="4"/>
        <v>2207.7702871227139</v>
      </c>
      <c r="P20" s="155">
        <f t="shared" ca="1" si="5"/>
        <v>9.6024482817131762E-4</v>
      </c>
      <c r="Q20" s="156">
        <v>35</v>
      </c>
      <c r="R20" s="157"/>
      <c r="S20" s="146"/>
      <c r="T20" s="98">
        <f t="shared" si="13"/>
        <v>1820</v>
      </c>
      <c r="U20" s="158">
        <f t="shared" si="17"/>
        <v>1.7490941277399266E-2</v>
      </c>
      <c r="V20" s="158"/>
      <c r="W20" s="159">
        <f t="shared" si="18"/>
        <v>0.2148224</v>
      </c>
      <c r="X20" s="160">
        <v>2</v>
      </c>
      <c r="Y20" s="159">
        <f t="shared" si="6"/>
        <v>0.42964479999999999</v>
      </c>
      <c r="Z20" s="161">
        <f t="shared" si="7"/>
        <v>7.0891392</v>
      </c>
      <c r="AA20" s="161"/>
      <c r="AB20" s="158"/>
      <c r="AC20" s="162">
        <f t="shared" ca="1" si="8"/>
        <v>34498.87207216159</v>
      </c>
      <c r="AD20" s="163">
        <f t="shared" si="9"/>
        <v>40398.939475049548</v>
      </c>
      <c r="AE20" s="147"/>
      <c r="AF20" s="162">
        <f t="shared" si="10"/>
        <v>40398.939475049548</v>
      </c>
      <c r="AH20" s="165">
        <v>40398.939475049548</v>
      </c>
      <c r="AI20" s="100">
        <v>33</v>
      </c>
      <c r="AJ20" s="166">
        <f t="shared" si="11"/>
        <v>0</v>
      </c>
      <c r="AK20" s="100">
        <f t="shared" si="12"/>
        <v>0</v>
      </c>
    </row>
    <row r="21" spans="1:37" s="100" customFormat="1" ht="18" customHeight="1">
      <c r="A21" s="151"/>
      <c r="B21" s="152" t="s">
        <v>189</v>
      </c>
      <c r="C21" s="132" t="s">
        <v>192</v>
      </c>
      <c r="D21" s="128">
        <f t="shared" si="16"/>
        <v>42</v>
      </c>
      <c r="E21" s="153">
        <f t="shared" ca="1" si="0"/>
        <v>796.13</v>
      </c>
      <c r="F21" s="154">
        <v>794.41</v>
      </c>
      <c r="G21" s="155">
        <f t="shared" ca="1" si="1"/>
        <v>2.1651288377538391E-3</v>
      </c>
      <c r="H21" s="153">
        <v>988.78489405289088</v>
      </c>
      <c r="I21" s="154">
        <v>988.78489405289088</v>
      </c>
      <c r="J21" s="155">
        <f t="shared" si="2"/>
        <v>0</v>
      </c>
      <c r="K21" s="153">
        <v>0</v>
      </c>
      <c r="L21" s="154">
        <v>0</v>
      </c>
      <c r="M21" s="155">
        <v>0</v>
      </c>
      <c r="N21" s="153">
        <f t="shared" ca="1" si="3"/>
        <v>1784.9148940528908</v>
      </c>
      <c r="O21" s="154">
        <f t="shared" si="4"/>
        <v>1783.194894052891</v>
      </c>
      <c r="P21" s="155">
        <f t="shared" ca="1" si="5"/>
        <v>9.645608596884998E-4</v>
      </c>
      <c r="Q21" s="156">
        <v>30</v>
      </c>
      <c r="R21" s="157"/>
      <c r="S21" s="146"/>
      <c r="T21" s="98">
        <f t="shared" si="13"/>
        <v>1260</v>
      </c>
      <c r="U21" s="158">
        <f t="shared" si="17"/>
        <v>1.2109113192045648E-2</v>
      </c>
      <c r="V21" s="158"/>
      <c r="W21" s="159">
        <f t="shared" si="18"/>
        <v>0.17351040000000001</v>
      </c>
      <c r="X21" s="160">
        <v>3</v>
      </c>
      <c r="Y21" s="159">
        <f t="shared" si="6"/>
        <v>0.52053119999999997</v>
      </c>
      <c r="Z21" s="161">
        <f t="shared" si="7"/>
        <v>4.6847808000000004</v>
      </c>
      <c r="AA21" s="161"/>
      <c r="AB21" s="158"/>
      <c r="AC21" s="162">
        <f t="shared" ca="1" si="8"/>
        <v>23883.834511496487</v>
      </c>
      <c r="AD21" s="163">
        <f t="shared" si="9"/>
        <v>26697.192139428054</v>
      </c>
      <c r="AE21" s="147"/>
      <c r="AF21" s="162">
        <f t="shared" si="10"/>
        <v>26697.192139428054</v>
      </c>
      <c r="AH21" s="165">
        <v>26697.192139428054</v>
      </c>
      <c r="AI21" s="100">
        <v>27</v>
      </c>
      <c r="AJ21" s="166">
        <f t="shared" si="11"/>
        <v>0</v>
      </c>
      <c r="AK21" s="100">
        <f t="shared" si="12"/>
        <v>0</v>
      </c>
    </row>
    <row r="22" spans="1:37" s="100" customFormat="1" ht="18" customHeight="1">
      <c r="A22" s="151"/>
      <c r="B22" s="152" t="s">
        <v>189</v>
      </c>
      <c r="C22" s="132" t="s">
        <v>193</v>
      </c>
      <c r="D22" s="128">
        <f t="shared" si="16"/>
        <v>35</v>
      </c>
      <c r="E22" s="153">
        <f t="shared" ca="1" si="0"/>
        <v>663.44</v>
      </c>
      <c r="F22" s="154">
        <v>662.01</v>
      </c>
      <c r="G22" s="155">
        <f t="shared" ca="1" si="1"/>
        <v>2.1600882161901839E-3</v>
      </c>
      <c r="H22" s="153">
        <v>823.98448364346791</v>
      </c>
      <c r="I22" s="154">
        <v>823.98448364346791</v>
      </c>
      <c r="J22" s="155">
        <f t="shared" si="2"/>
        <v>0</v>
      </c>
      <c r="K22" s="153">
        <v>0</v>
      </c>
      <c r="L22" s="154">
        <v>0</v>
      </c>
      <c r="M22" s="155">
        <v>0</v>
      </c>
      <c r="N22" s="153">
        <f t="shared" ca="1" si="3"/>
        <v>1487.424483643468</v>
      </c>
      <c r="O22" s="154">
        <f t="shared" si="4"/>
        <v>1485.9944836434679</v>
      </c>
      <c r="P22" s="155">
        <f t="shared" ca="1" si="5"/>
        <v>9.6231851177124635E-4</v>
      </c>
      <c r="Q22" s="156">
        <v>12</v>
      </c>
      <c r="R22" s="157"/>
      <c r="S22" s="146"/>
      <c r="T22" s="98">
        <f t="shared" si="13"/>
        <v>420</v>
      </c>
      <c r="U22" s="158">
        <f t="shared" si="17"/>
        <v>4.0363710640152154E-3</v>
      </c>
      <c r="V22" s="158"/>
      <c r="W22" s="159">
        <f t="shared" si="18"/>
        <v>0.144592</v>
      </c>
      <c r="X22" s="160">
        <v>1</v>
      </c>
      <c r="Y22" s="159">
        <f t="shared" si="6"/>
        <v>0.144592</v>
      </c>
      <c r="Z22" s="161">
        <f t="shared" si="7"/>
        <v>1.5905119999999999</v>
      </c>
      <c r="AA22" s="161"/>
      <c r="AB22" s="158"/>
      <c r="AC22" s="162">
        <f t="shared" ca="1" si="8"/>
        <v>7961.2781704988283</v>
      </c>
      <c r="AD22" s="163">
        <f t="shared" si="9"/>
        <v>9063.8293200781463</v>
      </c>
      <c r="AE22" s="147"/>
      <c r="AF22" s="162">
        <f t="shared" si="10"/>
        <v>9063.8293200781463</v>
      </c>
      <c r="AH22" s="165">
        <v>9063.8293200781463</v>
      </c>
      <c r="AI22" s="100">
        <v>11</v>
      </c>
      <c r="AJ22" s="166">
        <f t="shared" si="11"/>
        <v>0</v>
      </c>
      <c r="AK22" s="100">
        <f t="shared" si="12"/>
        <v>0</v>
      </c>
    </row>
    <row r="23" spans="1:37" s="100" customFormat="1" ht="18" customHeight="1">
      <c r="A23" s="151" t="s">
        <v>195</v>
      </c>
      <c r="B23" s="152" t="s">
        <v>189</v>
      </c>
      <c r="C23" s="132" t="s">
        <v>188</v>
      </c>
      <c r="D23" s="128">
        <f t="shared" si="16"/>
        <v>80</v>
      </c>
      <c r="E23" s="153">
        <f t="shared" ca="1" si="0"/>
        <v>1576.88</v>
      </c>
      <c r="F23" s="154">
        <v>1573.48</v>
      </c>
      <c r="G23" s="155">
        <f t="shared" ca="1" si="1"/>
        <v>2.1608155171976072E-3</v>
      </c>
      <c r="H23" s="153">
        <v>1958.4729333416387</v>
      </c>
      <c r="I23" s="154">
        <v>1958.4729333416387</v>
      </c>
      <c r="J23" s="155">
        <f t="shared" si="2"/>
        <v>0</v>
      </c>
      <c r="K23" s="153">
        <v>0</v>
      </c>
      <c r="L23" s="154">
        <v>0</v>
      </c>
      <c r="M23" s="155">
        <v>0</v>
      </c>
      <c r="N23" s="153">
        <f t="shared" ca="1" si="3"/>
        <v>3535.3529333416391</v>
      </c>
      <c r="O23" s="154">
        <f t="shared" si="4"/>
        <v>3531.9529333416385</v>
      </c>
      <c r="P23" s="155">
        <f t="shared" ca="1" si="5"/>
        <v>9.6264023450158206E-4</v>
      </c>
      <c r="Q23" s="156">
        <v>4</v>
      </c>
      <c r="R23" s="157"/>
      <c r="S23" s="146">
        <v>17.54</v>
      </c>
      <c r="T23" s="98">
        <f t="shared" si="13"/>
        <v>320</v>
      </c>
      <c r="U23" s="158">
        <f t="shared" ref="U23:U27" si="19">(T23/SUM(T$23:T$27))*S$23/S$52</f>
        <v>3.1979064914092162E-3</v>
      </c>
      <c r="V23" s="158"/>
      <c r="W23" s="159">
        <f t="shared" ref="W23:W27" si="20">S$23*(T23/SUM(T$23:T$27))/Q23</f>
        <v>0.34366887092823906</v>
      </c>
      <c r="X23" s="160"/>
      <c r="Y23" s="159">
        <f t="shared" si="6"/>
        <v>0</v>
      </c>
      <c r="Z23" s="161">
        <f t="shared" si="7"/>
        <v>1.3746754837129562</v>
      </c>
      <c r="AA23" s="161"/>
      <c r="AB23" s="158"/>
      <c r="AC23" s="162">
        <f t="shared" ca="1" si="8"/>
        <v>6307.5031352609849</v>
      </c>
      <c r="AD23" s="163">
        <f t="shared" si="9"/>
        <v>7833.8917333665549</v>
      </c>
      <c r="AE23" s="147"/>
      <c r="AF23" s="162">
        <f t="shared" si="10"/>
        <v>7833.8917333665549</v>
      </c>
      <c r="AH23" s="165">
        <v>7833.8917333665549</v>
      </c>
      <c r="AI23" s="100">
        <v>4</v>
      </c>
      <c r="AJ23" s="166">
        <f t="shared" si="11"/>
        <v>0</v>
      </c>
      <c r="AK23" s="100">
        <f t="shared" si="12"/>
        <v>0</v>
      </c>
    </row>
    <row r="24" spans="1:37" s="100" customFormat="1" ht="18" customHeight="1">
      <c r="A24" s="151"/>
      <c r="B24" s="152" t="s">
        <v>189</v>
      </c>
      <c r="C24" s="132" t="s">
        <v>190</v>
      </c>
      <c r="D24" s="128">
        <f t="shared" si="16"/>
        <v>65</v>
      </c>
      <c r="E24" s="153">
        <f t="shared" ca="1" si="0"/>
        <v>1281.21</v>
      </c>
      <c r="F24" s="154">
        <v>1278.45</v>
      </c>
      <c r="G24" s="155">
        <f t="shared" ca="1" si="1"/>
        <v>2.1588642496773365E-3</v>
      </c>
      <c r="H24" s="153">
        <v>1591.2581603148537</v>
      </c>
      <c r="I24" s="154">
        <v>1591.2581603148537</v>
      </c>
      <c r="J24" s="155">
        <f t="shared" si="2"/>
        <v>0</v>
      </c>
      <c r="K24" s="153">
        <v>0</v>
      </c>
      <c r="L24" s="154">
        <v>0</v>
      </c>
      <c r="M24" s="155">
        <v>0</v>
      </c>
      <c r="N24" s="153">
        <f t="shared" ca="1" si="3"/>
        <v>2872.4681603148538</v>
      </c>
      <c r="O24" s="154">
        <f t="shared" si="4"/>
        <v>2869.7081603148536</v>
      </c>
      <c r="P24" s="155">
        <f t="shared" ca="1" si="5"/>
        <v>9.6177027272954525E-4</v>
      </c>
      <c r="Q24" s="156">
        <v>14</v>
      </c>
      <c r="R24" s="157"/>
      <c r="S24" s="146"/>
      <c r="T24" s="98">
        <f t="shared" si="13"/>
        <v>910</v>
      </c>
      <c r="U24" s="158">
        <f t="shared" si="19"/>
        <v>9.0940465849449568E-3</v>
      </c>
      <c r="V24" s="158"/>
      <c r="W24" s="159">
        <f t="shared" si="20"/>
        <v>0.2792309576291942</v>
      </c>
      <c r="X24" s="160"/>
      <c r="Y24" s="159">
        <f t="shared" si="6"/>
        <v>0</v>
      </c>
      <c r="Z24" s="161">
        <f t="shared" si="7"/>
        <v>3.9092334068087187</v>
      </c>
      <c r="AA24" s="161"/>
      <c r="AB24" s="158"/>
      <c r="AC24" s="162">
        <f t="shared" ca="1" si="8"/>
        <v>17936.962040898426</v>
      </c>
      <c r="AD24" s="163">
        <f t="shared" si="9"/>
        <v>22277.614244407952</v>
      </c>
      <c r="AE24" s="147"/>
      <c r="AF24" s="162">
        <f t="shared" si="10"/>
        <v>22277.614244407952</v>
      </c>
      <c r="AH24" s="165">
        <v>22277.614244407952</v>
      </c>
      <c r="AI24" s="100">
        <v>14</v>
      </c>
      <c r="AJ24" s="166">
        <f t="shared" si="11"/>
        <v>0</v>
      </c>
      <c r="AK24" s="100">
        <f t="shared" si="12"/>
        <v>0</v>
      </c>
    </row>
    <row r="25" spans="1:37" s="100" customFormat="1" ht="18" customHeight="1">
      <c r="A25" s="151"/>
      <c r="B25" s="152" t="s">
        <v>189</v>
      </c>
      <c r="C25" s="132" t="s">
        <v>191</v>
      </c>
      <c r="D25" s="128">
        <f t="shared" si="16"/>
        <v>52</v>
      </c>
      <c r="E25" s="153">
        <f t="shared" ca="1" si="0"/>
        <v>1024.97</v>
      </c>
      <c r="F25" s="154">
        <v>1022.76</v>
      </c>
      <c r="G25" s="155">
        <f t="shared" ca="1" si="1"/>
        <v>2.1608197426571593E-3</v>
      </c>
      <c r="H25" s="153">
        <v>1273.0065282518831</v>
      </c>
      <c r="I25" s="154">
        <v>1273.0065282518831</v>
      </c>
      <c r="J25" s="155">
        <f t="shared" si="2"/>
        <v>0</v>
      </c>
      <c r="K25" s="153">
        <v>0</v>
      </c>
      <c r="L25" s="154">
        <v>0</v>
      </c>
      <c r="M25" s="155">
        <v>0</v>
      </c>
      <c r="N25" s="153">
        <f t="shared" ca="1" si="3"/>
        <v>2297.9765282518829</v>
      </c>
      <c r="O25" s="154">
        <f t="shared" si="4"/>
        <v>2295.7665282518828</v>
      </c>
      <c r="P25" s="155">
        <f t="shared" ca="1" si="5"/>
        <v>9.6264144145478351E-4</v>
      </c>
      <c r="Q25" s="156">
        <v>13</v>
      </c>
      <c r="R25" s="157"/>
      <c r="S25" s="146"/>
      <c r="T25" s="98">
        <f t="shared" si="13"/>
        <v>676</v>
      </c>
      <c r="U25" s="158">
        <f t="shared" si="19"/>
        <v>6.7555774631019678E-3</v>
      </c>
      <c r="V25" s="158"/>
      <c r="W25" s="159">
        <f t="shared" si="20"/>
        <v>0.22338476610335536</v>
      </c>
      <c r="X25" s="160"/>
      <c r="Y25" s="159">
        <f t="shared" si="6"/>
        <v>0</v>
      </c>
      <c r="Z25" s="161">
        <f t="shared" si="7"/>
        <v>2.9040019593436197</v>
      </c>
      <c r="AA25" s="161"/>
      <c r="AB25" s="158"/>
      <c r="AC25" s="162">
        <f t="shared" ca="1" si="8"/>
        <v>13324.600373238829</v>
      </c>
      <c r="AD25" s="163">
        <f t="shared" si="9"/>
        <v>16549.08486727448</v>
      </c>
      <c r="AE25" s="147"/>
      <c r="AF25" s="162">
        <f t="shared" si="10"/>
        <v>16549.08486727448</v>
      </c>
      <c r="AH25" s="165">
        <v>16549.08486727448</v>
      </c>
      <c r="AI25" s="100">
        <v>13</v>
      </c>
      <c r="AJ25" s="166">
        <f t="shared" si="11"/>
        <v>0</v>
      </c>
      <c r="AK25" s="100">
        <f t="shared" si="12"/>
        <v>0</v>
      </c>
    </row>
    <row r="26" spans="1:37" s="100" customFormat="1" ht="18" customHeight="1">
      <c r="A26" s="151"/>
      <c r="B26" s="152" t="s">
        <v>189</v>
      </c>
      <c r="C26" s="132" t="s">
        <v>192</v>
      </c>
      <c r="D26" s="128">
        <f t="shared" si="16"/>
        <v>42</v>
      </c>
      <c r="E26" s="153">
        <f t="shared" ca="1" si="0"/>
        <v>827.86</v>
      </c>
      <c r="F26" s="154">
        <v>826.08</v>
      </c>
      <c r="G26" s="155">
        <f t="shared" ca="1" si="1"/>
        <v>2.154754987410387E-3</v>
      </c>
      <c r="H26" s="153">
        <v>1028.1996076346338</v>
      </c>
      <c r="I26" s="154">
        <v>1028.1996076346338</v>
      </c>
      <c r="J26" s="155">
        <f t="shared" si="2"/>
        <v>0</v>
      </c>
      <c r="K26" s="153">
        <v>0</v>
      </c>
      <c r="L26" s="154">
        <v>0</v>
      </c>
      <c r="M26" s="155">
        <v>0</v>
      </c>
      <c r="N26" s="153">
        <f t="shared" ca="1" si="3"/>
        <v>1856.0596076346337</v>
      </c>
      <c r="O26" s="154">
        <f t="shared" si="4"/>
        <v>1854.279607634634</v>
      </c>
      <c r="P26" s="155">
        <f t="shared" ca="1" si="5"/>
        <v>9.5994152805808962E-4</v>
      </c>
      <c r="Q26" s="156">
        <v>31</v>
      </c>
      <c r="R26" s="157"/>
      <c r="S26" s="146"/>
      <c r="T26" s="98">
        <f t="shared" si="13"/>
        <v>1302</v>
      </c>
      <c r="U26" s="158">
        <f t="shared" si="19"/>
        <v>1.3011482036921245E-2</v>
      </c>
      <c r="V26" s="158"/>
      <c r="W26" s="159">
        <f t="shared" si="20"/>
        <v>0.18042615723732547</v>
      </c>
      <c r="X26" s="160">
        <v>1</v>
      </c>
      <c r="Y26" s="159">
        <f t="shared" si="6"/>
        <v>0.18042615723732547</v>
      </c>
      <c r="Z26" s="161">
        <f t="shared" si="7"/>
        <v>5.4127847171197647</v>
      </c>
      <c r="AA26" s="161"/>
      <c r="AB26" s="158"/>
      <c r="AC26" s="162">
        <f t="shared" ca="1" si="8"/>
        <v>25663.653381593129</v>
      </c>
      <c r="AD26" s="163">
        <f t="shared" si="9"/>
        <v>30845.988229039016</v>
      </c>
      <c r="AE26" s="147"/>
      <c r="AF26" s="162">
        <f t="shared" si="10"/>
        <v>30845.988229039016</v>
      </c>
      <c r="AH26" s="165">
        <v>30845.988229039016</v>
      </c>
      <c r="AI26" s="100">
        <v>30</v>
      </c>
      <c r="AJ26" s="166">
        <f t="shared" si="11"/>
        <v>0</v>
      </c>
      <c r="AK26" s="100">
        <f t="shared" si="12"/>
        <v>0</v>
      </c>
    </row>
    <row r="27" spans="1:37" s="100" customFormat="1" ht="18" customHeight="1">
      <c r="A27" s="151"/>
      <c r="B27" s="152" t="s">
        <v>189</v>
      </c>
      <c r="C27" s="132" t="s">
        <v>193</v>
      </c>
      <c r="D27" s="128">
        <f t="shared" si="16"/>
        <v>35</v>
      </c>
      <c r="E27" s="153">
        <f t="shared" ca="1" si="0"/>
        <v>689.88</v>
      </c>
      <c r="F27" s="154">
        <v>688.4</v>
      </c>
      <c r="G27" s="155">
        <f t="shared" ca="1" si="1"/>
        <v>2.1499128413713224E-3</v>
      </c>
      <c r="H27" s="153">
        <v>856.82861426128318</v>
      </c>
      <c r="I27" s="154">
        <v>856.82861426128318</v>
      </c>
      <c r="J27" s="155">
        <f t="shared" si="2"/>
        <v>0</v>
      </c>
      <c r="K27" s="153">
        <v>0</v>
      </c>
      <c r="L27" s="154">
        <v>0</v>
      </c>
      <c r="M27" s="155">
        <v>0</v>
      </c>
      <c r="N27" s="153">
        <f t="shared" ca="1" si="3"/>
        <v>1546.7086142612832</v>
      </c>
      <c r="O27" s="154">
        <f t="shared" si="4"/>
        <v>1545.2286142612832</v>
      </c>
      <c r="P27" s="155">
        <f t="shared" ca="1" si="5"/>
        <v>9.5778707845605847E-4</v>
      </c>
      <c r="Q27" s="156">
        <v>25</v>
      </c>
      <c r="R27" s="157"/>
      <c r="S27" s="146"/>
      <c r="T27" s="98">
        <f t="shared" si="13"/>
        <v>875</v>
      </c>
      <c r="U27" s="158">
        <f t="shared" si="19"/>
        <v>8.7442755624470743E-3</v>
      </c>
      <c r="V27" s="158"/>
      <c r="W27" s="159">
        <f t="shared" si="20"/>
        <v>0.15035513103110457</v>
      </c>
      <c r="X27" s="160">
        <v>1</v>
      </c>
      <c r="Y27" s="159">
        <f t="shared" si="6"/>
        <v>0.15035513103110457</v>
      </c>
      <c r="Z27" s="161">
        <f t="shared" si="7"/>
        <v>3.6085231447465098</v>
      </c>
      <c r="AA27" s="161"/>
      <c r="AB27" s="158"/>
      <c r="AC27" s="162">
        <f t="shared" ca="1" si="8"/>
        <v>17247.078885479255</v>
      </c>
      <c r="AD27" s="163">
        <f t="shared" si="9"/>
        <v>20563.886742270795</v>
      </c>
      <c r="AE27" s="147"/>
      <c r="AF27" s="162">
        <f t="shared" si="10"/>
        <v>20563.886742270795</v>
      </c>
      <c r="AH27" s="165">
        <v>20563.886742270795</v>
      </c>
      <c r="AI27" s="100">
        <v>24</v>
      </c>
      <c r="AJ27" s="166">
        <f t="shared" si="11"/>
        <v>0</v>
      </c>
      <c r="AK27" s="100">
        <f t="shared" si="12"/>
        <v>0</v>
      </c>
    </row>
    <row r="28" spans="1:37" s="100" customFormat="1" ht="18" customHeight="1">
      <c r="A28" s="151" t="s">
        <v>196</v>
      </c>
      <c r="B28" s="152" t="s">
        <v>189</v>
      </c>
      <c r="C28" s="132" t="s">
        <v>188</v>
      </c>
      <c r="D28" s="128">
        <f t="shared" si="16"/>
        <v>80</v>
      </c>
      <c r="E28" s="153">
        <f t="shared" ca="1" si="0"/>
        <v>1629.14</v>
      </c>
      <c r="F28" s="154">
        <v>1625.63</v>
      </c>
      <c r="G28" s="155">
        <f t="shared" ca="1" si="1"/>
        <v>2.1591629091490625E-3</v>
      </c>
      <c r="H28" s="153">
        <v>2023.3881848168073</v>
      </c>
      <c r="I28" s="154">
        <v>2023.3881848168073</v>
      </c>
      <c r="J28" s="155">
        <f t="shared" si="2"/>
        <v>0</v>
      </c>
      <c r="K28" s="153">
        <v>0</v>
      </c>
      <c r="L28" s="154">
        <v>0</v>
      </c>
      <c r="M28" s="155">
        <v>0</v>
      </c>
      <c r="N28" s="153">
        <f t="shared" ca="1" si="3"/>
        <v>3652.5281848168074</v>
      </c>
      <c r="O28" s="154">
        <f t="shared" si="4"/>
        <v>3649.0181848168077</v>
      </c>
      <c r="P28" s="155">
        <f t="shared" ca="1" si="5"/>
        <v>9.6190257823447283E-4</v>
      </c>
      <c r="Q28" s="156">
        <v>9</v>
      </c>
      <c r="R28" s="157"/>
      <c r="S28" s="146">
        <v>10.35</v>
      </c>
      <c r="T28" s="98">
        <f t="shared" si="13"/>
        <v>720</v>
      </c>
      <c r="U28" s="158">
        <f t="shared" ref="U28:U30" si="21">(T28/SUM(T$28:T$30))*S$28/S$52</f>
        <v>7.4337828949296953E-3</v>
      </c>
      <c r="V28" s="158"/>
      <c r="W28" s="159">
        <f t="shared" ref="W28:W30" si="22">S$28*(T28/SUM(T$28:T$30))/Q28</f>
        <v>0.35506003430531735</v>
      </c>
      <c r="X28" s="160">
        <v>1</v>
      </c>
      <c r="Y28" s="159">
        <f t="shared" si="6"/>
        <v>0.35506003430531735</v>
      </c>
      <c r="Z28" s="161">
        <f t="shared" si="7"/>
        <v>2.8404802744425388</v>
      </c>
      <c r="AA28" s="161"/>
      <c r="AB28" s="158"/>
      <c r="AC28" s="162">
        <f t="shared" ca="1" si="8"/>
        <v>14662.282666043875</v>
      </c>
      <c r="AD28" s="163">
        <f t="shared" si="9"/>
        <v>16187.105478534459</v>
      </c>
      <c r="AE28" s="147"/>
      <c r="AF28" s="162">
        <f t="shared" si="10"/>
        <v>16187.105478534459</v>
      </c>
      <c r="AH28" s="165">
        <v>16187.105478534459</v>
      </c>
      <c r="AI28" s="100">
        <v>8</v>
      </c>
      <c r="AJ28" s="166">
        <f t="shared" si="11"/>
        <v>0</v>
      </c>
      <c r="AK28" s="100">
        <f t="shared" si="12"/>
        <v>0</v>
      </c>
    </row>
    <row r="29" spans="1:37" s="100" customFormat="1" ht="18" customHeight="1">
      <c r="A29" s="151"/>
      <c r="B29" s="152" t="s">
        <v>189</v>
      </c>
      <c r="C29" s="132" t="s">
        <v>190</v>
      </c>
      <c r="D29" s="128">
        <f t="shared" si="16"/>
        <v>65</v>
      </c>
      <c r="E29" s="153">
        <f t="shared" ca="1" si="0"/>
        <v>1323.68</v>
      </c>
      <c r="F29" s="154">
        <v>1320.82</v>
      </c>
      <c r="G29" s="155">
        <f t="shared" ca="1" si="1"/>
        <v>2.1653215426781299E-3</v>
      </c>
      <c r="H29" s="153">
        <v>1643.9985080627441</v>
      </c>
      <c r="I29" s="154">
        <v>1643.9985080627441</v>
      </c>
      <c r="J29" s="155">
        <f t="shared" si="2"/>
        <v>0</v>
      </c>
      <c r="K29" s="153">
        <v>0</v>
      </c>
      <c r="L29" s="154">
        <v>0</v>
      </c>
      <c r="M29" s="155">
        <v>0</v>
      </c>
      <c r="N29" s="153">
        <f t="shared" ca="1" si="3"/>
        <v>2967.6785080627442</v>
      </c>
      <c r="O29" s="154">
        <f t="shared" si="4"/>
        <v>2964.8185080627441</v>
      </c>
      <c r="P29" s="155">
        <f t="shared" ca="1" si="5"/>
        <v>9.6464589391304534E-4</v>
      </c>
      <c r="Q29" s="156">
        <v>20</v>
      </c>
      <c r="R29" s="157"/>
      <c r="S29" s="146"/>
      <c r="T29" s="98">
        <f t="shared" si="13"/>
        <v>1300</v>
      </c>
      <c r="U29" s="158">
        <f t="shared" si="21"/>
        <v>1.3422108004734172E-2</v>
      </c>
      <c r="V29" s="158"/>
      <c r="W29" s="159">
        <f t="shared" si="22"/>
        <v>0.2884862778730703</v>
      </c>
      <c r="X29" s="160"/>
      <c r="Y29" s="159">
        <f t="shared" si="6"/>
        <v>0</v>
      </c>
      <c r="Z29" s="161">
        <f t="shared" si="7"/>
        <v>5.7697255574614061</v>
      </c>
      <c r="AA29" s="161"/>
      <c r="AB29" s="158"/>
      <c r="AC29" s="162">
        <f t="shared" ca="1" si="8"/>
        <v>26473.565924801442</v>
      </c>
      <c r="AD29" s="163">
        <f t="shared" si="9"/>
        <v>32879.970161254882</v>
      </c>
      <c r="AE29" s="147"/>
      <c r="AF29" s="162">
        <f t="shared" si="10"/>
        <v>32879.970161254882</v>
      </c>
      <c r="AH29" s="165">
        <v>32879.970161254882</v>
      </c>
      <c r="AI29" s="100">
        <v>20</v>
      </c>
      <c r="AJ29" s="166">
        <f t="shared" si="11"/>
        <v>0</v>
      </c>
      <c r="AK29" s="100">
        <f t="shared" si="12"/>
        <v>0</v>
      </c>
    </row>
    <row r="30" spans="1:37" s="100" customFormat="1" ht="18" customHeight="1">
      <c r="A30" s="151"/>
      <c r="B30" s="152" t="s">
        <v>189</v>
      </c>
      <c r="C30" s="132" t="s">
        <v>191</v>
      </c>
      <c r="D30" s="128">
        <f t="shared" si="16"/>
        <v>52</v>
      </c>
      <c r="E30" s="153">
        <f t="shared" ca="1" si="0"/>
        <v>1058.94</v>
      </c>
      <c r="F30" s="154">
        <v>1056.6600000000001</v>
      </c>
      <c r="G30" s="155">
        <f t="shared" ca="1" si="1"/>
        <v>2.1577423201407952E-3</v>
      </c>
      <c r="H30" s="153">
        <v>1315.1970496098306</v>
      </c>
      <c r="I30" s="154">
        <v>1315.1970496098306</v>
      </c>
      <c r="J30" s="155">
        <f t="shared" si="2"/>
        <v>0</v>
      </c>
      <c r="K30" s="153">
        <v>0</v>
      </c>
      <c r="L30" s="154">
        <v>0</v>
      </c>
      <c r="M30" s="155">
        <v>0</v>
      </c>
      <c r="N30" s="153">
        <f t="shared" ca="1" si="3"/>
        <v>2374.1370496098307</v>
      </c>
      <c r="O30" s="154">
        <f t="shared" si="4"/>
        <v>2371.8570496098309</v>
      </c>
      <c r="P30" s="155">
        <f t="shared" ca="1" si="5"/>
        <v>9.6127209705779018E-4</v>
      </c>
      <c r="Q30" s="156">
        <v>6</v>
      </c>
      <c r="R30" s="157"/>
      <c r="S30" s="146"/>
      <c r="T30" s="98">
        <f t="shared" si="13"/>
        <v>312</v>
      </c>
      <c r="U30" s="158">
        <f t="shared" si="21"/>
        <v>3.221305921136201E-3</v>
      </c>
      <c r="V30" s="158"/>
      <c r="W30" s="159">
        <f t="shared" si="22"/>
        <v>0.23078902229845624</v>
      </c>
      <c r="X30" s="160"/>
      <c r="Y30" s="159">
        <f t="shared" si="6"/>
        <v>0</v>
      </c>
      <c r="Z30" s="161">
        <f t="shared" si="7"/>
        <v>1.3847341337907375</v>
      </c>
      <c r="AA30" s="161"/>
      <c r="AB30" s="158"/>
      <c r="AC30" s="162">
        <f t="shared" ca="1" si="8"/>
        <v>6353.6558219523449</v>
      </c>
      <c r="AD30" s="163">
        <f t="shared" si="9"/>
        <v>7891.1822976589838</v>
      </c>
      <c r="AE30" s="147"/>
      <c r="AF30" s="162">
        <f t="shared" si="10"/>
        <v>7891.1822976589838</v>
      </c>
      <c r="AH30" s="165">
        <v>7891.1822976589838</v>
      </c>
      <c r="AI30" s="100">
        <v>6</v>
      </c>
      <c r="AJ30" s="166">
        <f t="shared" si="11"/>
        <v>0</v>
      </c>
      <c r="AK30" s="100">
        <f t="shared" si="12"/>
        <v>0</v>
      </c>
    </row>
    <row r="31" spans="1:37" s="100" customFormat="1" ht="18" customHeight="1">
      <c r="A31" s="151" t="s">
        <v>197</v>
      </c>
      <c r="B31" s="152" t="s">
        <v>189</v>
      </c>
      <c r="C31" s="132" t="s">
        <v>191</v>
      </c>
      <c r="D31" s="128" t="s">
        <v>187</v>
      </c>
      <c r="E31" s="153">
        <f t="shared" ca="1" si="0"/>
        <v>967.73</v>
      </c>
      <c r="F31" s="154">
        <v>965.64</v>
      </c>
      <c r="G31" s="155">
        <f t="shared" ca="1" si="1"/>
        <v>2.1643676732530049E-3</v>
      </c>
      <c r="H31" s="153">
        <v>1201.9071986930176</v>
      </c>
      <c r="I31" s="154">
        <v>1201.9071986930176</v>
      </c>
      <c r="J31" s="155">
        <f t="shared" si="2"/>
        <v>0</v>
      </c>
      <c r="K31" s="153">
        <v>0</v>
      </c>
      <c r="L31" s="154">
        <v>0</v>
      </c>
      <c r="M31" s="155">
        <v>0</v>
      </c>
      <c r="N31" s="153">
        <f t="shared" ca="1" si="3"/>
        <v>2169.6371986930176</v>
      </c>
      <c r="O31" s="154">
        <f t="shared" si="4"/>
        <v>2167.5471986930174</v>
      </c>
      <c r="P31" s="155">
        <f t="shared" ca="1" si="5"/>
        <v>9.6422352475663219E-4</v>
      </c>
      <c r="Q31" s="156">
        <v>11</v>
      </c>
      <c r="R31" s="157"/>
      <c r="S31" s="146">
        <v>2.3199999999999998</v>
      </c>
      <c r="T31" s="98"/>
      <c r="U31" s="158">
        <f t="shared" ref="U31:U32" si="23">S31/S$52</f>
        <v>5.3970141665947973E-3</v>
      </c>
      <c r="V31" s="158"/>
      <c r="W31" s="159">
        <f t="shared" ref="W31:W32" si="24">S31/Q31</f>
        <v>0.21090909090909091</v>
      </c>
      <c r="X31" s="160"/>
      <c r="Y31" s="159">
        <f t="shared" si="6"/>
        <v>0</v>
      </c>
      <c r="Z31" s="161">
        <f t="shared" si="7"/>
        <v>2.3199999999999998</v>
      </c>
      <c r="AA31" s="161"/>
      <c r="AB31" s="158"/>
      <c r="AC31" s="162">
        <f t="shared" ca="1" si="8"/>
        <v>10644.990361129523</v>
      </c>
      <c r="AD31" s="163">
        <f t="shared" si="9"/>
        <v>13220.979185623193</v>
      </c>
      <c r="AE31" s="147"/>
      <c r="AF31" s="162">
        <f t="shared" si="10"/>
        <v>13220.979185623193</v>
      </c>
      <c r="AH31" s="165">
        <v>13220.979185623193</v>
      </c>
      <c r="AI31" s="100">
        <v>11</v>
      </c>
      <c r="AJ31" s="166">
        <f t="shared" si="11"/>
        <v>0</v>
      </c>
      <c r="AK31" s="100">
        <f t="shared" si="12"/>
        <v>0</v>
      </c>
    </row>
    <row r="32" spans="1:37" s="100" customFormat="1" ht="18" customHeight="1">
      <c r="A32" s="151" t="s">
        <v>191</v>
      </c>
      <c r="B32" s="152" t="s">
        <v>189</v>
      </c>
      <c r="C32" s="132" t="s">
        <v>198</v>
      </c>
      <c r="D32" s="128" t="s">
        <v>187</v>
      </c>
      <c r="E32" s="153">
        <f t="shared" ca="1" si="0"/>
        <v>2582.08</v>
      </c>
      <c r="F32" s="154">
        <v>2576.5100000000002</v>
      </c>
      <c r="G32" s="155">
        <f t="shared" ca="1" si="1"/>
        <v>2.16183907689072E-3</v>
      </c>
      <c r="H32" s="153">
        <v>3206.918833295204</v>
      </c>
      <c r="I32" s="154">
        <v>3206.918833295204</v>
      </c>
      <c r="J32" s="155">
        <f t="shared" si="2"/>
        <v>0</v>
      </c>
      <c r="K32" s="153">
        <v>0</v>
      </c>
      <c r="L32" s="154">
        <v>0</v>
      </c>
      <c r="M32" s="155">
        <v>0</v>
      </c>
      <c r="N32" s="153">
        <f t="shared" ca="1" si="3"/>
        <v>5788.9988332952034</v>
      </c>
      <c r="O32" s="154">
        <f t="shared" si="4"/>
        <v>5783.4288332952037</v>
      </c>
      <c r="P32" s="155">
        <f t="shared" ca="1" si="5"/>
        <v>9.6309648835535332E-4</v>
      </c>
      <c r="Q32" s="156">
        <v>51</v>
      </c>
      <c r="R32" s="157"/>
      <c r="S32" s="146">
        <v>28.7</v>
      </c>
      <c r="T32" s="98"/>
      <c r="U32" s="158">
        <f t="shared" si="23"/>
        <v>6.6764787319513227E-2</v>
      </c>
      <c r="V32" s="158"/>
      <c r="W32" s="159">
        <f t="shared" si="24"/>
        <v>0.56274509803921569</v>
      </c>
      <c r="X32" s="160">
        <v>5</v>
      </c>
      <c r="Y32" s="159">
        <f t="shared" si="6"/>
        <v>2.8137254901960782</v>
      </c>
      <c r="Z32" s="161">
        <f t="shared" si="7"/>
        <v>25.886274509803922</v>
      </c>
      <c r="AA32" s="161"/>
      <c r="AB32" s="158"/>
      <c r="AC32" s="162">
        <f t="shared" ca="1" si="8"/>
        <v>131685.87213983506</v>
      </c>
      <c r="AD32" s="163">
        <f t="shared" si="9"/>
        <v>147518.26633157939</v>
      </c>
      <c r="AE32" s="147"/>
      <c r="AF32" s="162">
        <f t="shared" si="10"/>
        <v>147518.26633157939</v>
      </c>
      <c r="AH32" s="165">
        <v>163552.86049805541</v>
      </c>
      <c r="AI32" s="100">
        <v>51</v>
      </c>
      <c r="AJ32" s="166">
        <f t="shared" si="11"/>
        <v>5</v>
      </c>
      <c r="AK32" s="100">
        <f t="shared" si="12"/>
        <v>16034.594166476019</v>
      </c>
    </row>
    <row r="33" spans="1:37" s="100" customFormat="1" ht="18" customHeight="1">
      <c r="A33" s="151" t="s">
        <v>192</v>
      </c>
      <c r="B33" s="167" t="s">
        <v>189</v>
      </c>
      <c r="C33" s="132" t="s">
        <v>191</v>
      </c>
      <c r="D33" s="128">
        <f t="shared" ref="D33:D35" si="25">D20</f>
        <v>52</v>
      </c>
      <c r="E33" s="153">
        <f t="shared" ca="1" si="0"/>
        <v>1165.6300000000001</v>
      </c>
      <c r="F33" s="154">
        <v>1163.1199999999999</v>
      </c>
      <c r="G33" s="155">
        <f t="shared" ca="1" si="1"/>
        <v>2.1579888575557283E-3</v>
      </c>
      <c r="H33" s="153">
        <v>1447.7067341163147</v>
      </c>
      <c r="I33" s="154">
        <v>1447.7067341163147</v>
      </c>
      <c r="J33" s="155">
        <f t="shared" si="2"/>
        <v>0</v>
      </c>
      <c r="K33" s="153">
        <v>0</v>
      </c>
      <c r="L33" s="154">
        <v>0</v>
      </c>
      <c r="M33" s="155">
        <v>0</v>
      </c>
      <c r="N33" s="153">
        <f t="shared" ca="1" si="3"/>
        <v>2613.3367341163148</v>
      </c>
      <c r="O33" s="154">
        <f t="shared" si="4"/>
        <v>2610.8267341163146</v>
      </c>
      <c r="P33" s="155">
        <f t="shared" ca="1" si="5"/>
        <v>9.6138130010752203E-4</v>
      </c>
      <c r="Q33" s="156">
        <v>62</v>
      </c>
      <c r="R33" s="157"/>
      <c r="S33" s="146">
        <v>39.86</v>
      </c>
      <c r="T33" s="98">
        <f t="shared" ref="T33:T39" si="26">+D33*Q33</f>
        <v>3224</v>
      </c>
      <c r="U33" s="158">
        <f t="shared" ref="U33:U35" si="27">(T33/SUM(T$33:T$35))*S$33/S$52</f>
        <v>3.6640464232951496E-2</v>
      </c>
      <c r="V33" s="158"/>
      <c r="W33" s="159">
        <f t="shared" ref="W33:W35" si="28">S$33*(T33/SUM(T$33:T$35))/Q33</f>
        <v>0.25404093638926339</v>
      </c>
      <c r="X33" s="160">
        <v>2</v>
      </c>
      <c r="Y33" s="159">
        <f t="shared" si="6"/>
        <v>0.50808187277852679</v>
      </c>
      <c r="Z33" s="161">
        <f t="shared" si="7"/>
        <v>15.242456183355802</v>
      </c>
      <c r="AA33" s="161"/>
      <c r="AB33" s="158"/>
      <c r="AC33" s="162">
        <f t="shared" ca="1" si="8"/>
        <v>72269.105944031762</v>
      </c>
      <c r="AD33" s="163">
        <f t="shared" si="9"/>
        <v>86862.404046978889</v>
      </c>
      <c r="AE33" s="147"/>
      <c r="AF33" s="162">
        <f t="shared" si="10"/>
        <v>86862.404046978889</v>
      </c>
      <c r="AH33" s="165">
        <v>86862.404046978889</v>
      </c>
      <c r="AI33" s="100">
        <v>60</v>
      </c>
      <c r="AJ33" s="166">
        <f t="shared" si="11"/>
        <v>0</v>
      </c>
      <c r="AK33" s="100">
        <f t="shared" si="12"/>
        <v>0</v>
      </c>
    </row>
    <row r="34" spans="1:37" s="100" customFormat="1" ht="18" customHeight="1">
      <c r="A34" s="151"/>
      <c r="B34" s="167" t="s">
        <v>189</v>
      </c>
      <c r="C34" s="132" t="s">
        <v>192</v>
      </c>
      <c r="D34" s="128">
        <f t="shared" si="25"/>
        <v>42</v>
      </c>
      <c r="E34" s="153">
        <f t="shared" ca="1" si="0"/>
        <v>941.47</v>
      </c>
      <c r="F34" s="154">
        <v>939.44</v>
      </c>
      <c r="G34" s="155">
        <f t="shared" ca="1" si="1"/>
        <v>2.1608617900025257E-3</v>
      </c>
      <c r="H34" s="153">
        <v>1169.3002415244353</v>
      </c>
      <c r="I34" s="154">
        <v>1169.3002415244353</v>
      </c>
      <c r="J34" s="155">
        <f t="shared" si="2"/>
        <v>0</v>
      </c>
      <c r="K34" s="153">
        <v>0</v>
      </c>
      <c r="L34" s="154">
        <v>0</v>
      </c>
      <c r="M34" s="155">
        <v>0</v>
      </c>
      <c r="N34" s="153">
        <f t="shared" ca="1" si="3"/>
        <v>2110.7702415244353</v>
      </c>
      <c r="O34" s="154">
        <f t="shared" si="4"/>
        <v>2108.7402415244351</v>
      </c>
      <c r="P34" s="155">
        <f t="shared" ca="1" si="5"/>
        <v>9.6266005647650907E-4</v>
      </c>
      <c r="Q34" s="156">
        <v>85</v>
      </c>
      <c r="R34" s="157"/>
      <c r="S34" s="146"/>
      <c r="T34" s="98">
        <f t="shared" si="26"/>
        <v>3570</v>
      </c>
      <c r="U34" s="158">
        <f t="shared" si="27"/>
        <v>4.0572722491202494E-2</v>
      </c>
      <c r="V34" s="158"/>
      <c r="W34" s="159">
        <f t="shared" si="28"/>
        <v>0.20518691016055887</v>
      </c>
      <c r="X34" s="160">
        <v>1</v>
      </c>
      <c r="Y34" s="159">
        <f t="shared" si="6"/>
        <v>0.20518691016055887</v>
      </c>
      <c r="Z34" s="161">
        <f t="shared" si="7"/>
        <v>17.235700453486945</v>
      </c>
      <c r="AA34" s="161"/>
      <c r="AB34" s="158"/>
      <c r="AC34" s="162">
        <f t="shared" ca="1" si="8"/>
        <v>80025.033567057515</v>
      </c>
      <c r="AD34" s="163">
        <f t="shared" si="9"/>
        <v>98221.220288052558</v>
      </c>
      <c r="AE34" s="147"/>
      <c r="AF34" s="162">
        <f t="shared" si="10"/>
        <v>98221.220288052558</v>
      </c>
      <c r="AH34" s="165">
        <v>99390.520529576999</v>
      </c>
      <c r="AI34" s="100">
        <v>85</v>
      </c>
      <c r="AJ34" s="166">
        <f t="shared" si="11"/>
        <v>1</v>
      </c>
      <c r="AK34" s="100">
        <f t="shared" si="12"/>
        <v>1169.3002415244353</v>
      </c>
    </row>
    <row r="35" spans="1:37" s="100" customFormat="1" ht="18" customHeight="1">
      <c r="A35" s="168"/>
      <c r="B35" s="169" t="s">
        <v>189</v>
      </c>
      <c r="C35" s="118" t="s">
        <v>193</v>
      </c>
      <c r="D35" s="117">
        <f t="shared" si="25"/>
        <v>35</v>
      </c>
      <c r="E35" s="170">
        <f t="shared" ca="1" si="0"/>
        <v>784.56</v>
      </c>
      <c r="F35" s="171">
        <v>782.87</v>
      </c>
      <c r="G35" s="172">
        <f t="shared" ca="1" si="1"/>
        <v>2.1587236705965752E-3</v>
      </c>
      <c r="H35" s="170">
        <v>974.41393986975481</v>
      </c>
      <c r="I35" s="171">
        <v>974.41393986975481</v>
      </c>
      <c r="J35" s="172">
        <f t="shared" si="2"/>
        <v>0</v>
      </c>
      <c r="K35" s="170">
        <v>0</v>
      </c>
      <c r="L35" s="171">
        <v>0</v>
      </c>
      <c r="M35" s="172">
        <v>0</v>
      </c>
      <c r="N35" s="170">
        <f t="shared" ca="1" si="3"/>
        <v>1758.9739398697548</v>
      </c>
      <c r="O35" s="171">
        <f t="shared" si="4"/>
        <v>1757.2839398697547</v>
      </c>
      <c r="P35" s="172">
        <f t="shared" ca="1" si="5"/>
        <v>9.6171140113265527E-4</v>
      </c>
      <c r="Q35" s="173">
        <v>39</v>
      </c>
      <c r="R35" s="174"/>
      <c r="S35" s="146"/>
      <c r="T35" s="98">
        <f t="shared" si="26"/>
        <v>1365</v>
      </c>
      <c r="U35" s="158">
        <f t="shared" si="27"/>
        <v>1.5513099776048011E-2</v>
      </c>
      <c r="V35" s="158"/>
      <c r="W35" s="159">
        <f t="shared" si="28"/>
        <v>0.17098909180046573</v>
      </c>
      <c r="X35" s="160">
        <v>3</v>
      </c>
      <c r="Y35" s="159">
        <f t="shared" si="6"/>
        <v>0.51296727540139719</v>
      </c>
      <c r="Z35" s="161">
        <f t="shared" si="7"/>
        <v>6.1556073048167663</v>
      </c>
      <c r="AA35" s="161"/>
      <c r="AB35" s="158"/>
      <c r="AC35" s="162">
        <f t="shared" ca="1" si="8"/>
        <v>30597.806952110222</v>
      </c>
      <c r="AD35" s="163">
        <f t="shared" si="9"/>
        <v>35078.901835311175</v>
      </c>
      <c r="AE35" s="147"/>
      <c r="AF35" s="162">
        <f t="shared" si="10"/>
        <v>35078.901835311175</v>
      </c>
      <c r="AH35" s="165">
        <v>36053.315775180927</v>
      </c>
      <c r="AI35" s="100">
        <v>37</v>
      </c>
      <c r="AJ35" s="166">
        <f t="shared" si="11"/>
        <v>1</v>
      </c>
      <c r="AK35" s="100">
        <f t="shared" si="12"/>
        <v>974.41393986975481</v>
      </c>
    </row>
    <row r="36" spans="1:37" s="100" customFormat="1" ht="18" customHeight="1">
      <c r="A36" s="136" t="s">
        <v>199</v>
      </c>
      <c r="B36" s="167" t="s">
        <v>189</v>
      </c>
      <c r="C36" s="132" t="s">
        <v>193</v>
      </c>
      <c r="D36" s="128">
        <v>35</v>
      </c>
      <c r="E36" s="153">
        <f t="shared" ref="E36:E40" ca="1" si="29">AC36/Q36</f>
        <v>876.89986555057931</v>
      </c>
      <c r="F36" s="154">
        <v>875.00963262237906</v>
      </c>
      <c r="G36" s="155">
        <f t="shared" ca="1" si="1"/>
        <v>2.1602424221722838E-3</v>
      </c>
      <c r="H36" s="153">
        <v>1073.5411223447586</v>
      </c>
      <c r="I36" s="154">
        <v>1073.5411223447586</v>
      </c>
      <c r="J36" s="155">
        <f t="shared" si="2"/>
        <v>0</v>
      </c>
      <c r="K36" s="153">
        <v>0</v>
      </c>
      <c r="L36" s="154">
        <v>0</v>
      </c>
      <c r="M36" s="155">
        <v>0</v>
      </c>
      <c r="N36" s="153">
        <f t="shared" ca="1" si="3"/>
        <v>1950.4409878953379</v>
      </c>
      <c r="O36" s="154">
        <f t="shared" si="4"/>
        <v>1948.5507549671377</v>
      </c>
      <c r="P36" s="155">
        <f t="shared" ca="1" si="5"/>
        <v>9.7007117899380923E-4</v>
      </c>
      <c r="Q36" s="156">
        <v>39</v>
      </c>
      <c r="R36" s="157"/>
      <c r="S36" s="100">
        <v>20.339999999999996</v>
      </c>
      <c r="T36" s="98">
        <f t="shared" si="26"/>
        <v>1365</v>
      </c>
      <c r="U36" s="158">
        <f t="shared" ref="U36:U39" si="30">(T36/SUM(T$36:T$39))*S$36/S$52</f>
        <v>1.7338954064192849E-2</v>
      </c>
      <c r="V36" s="175"/>
      <c r="W36" s="159">
        <f t="shared" ref="W36:W39" si="31">S$36*(T36/SUM(T$36:T$39))/Q36</f>
        <v>0.19111409395973153</v>
      </c>
      <c r="X36" s="98"/>
      <c r="Y36" s="159">
        <f t="shared" si="6"/>
        <v>0</v>
      </c>
      <c r="Z36" s="161">
        <f t="shared" si="7"/>
        <v>7.4534496644295301</v>
      </c>
      <c r="AA36" s="161"/>
      <c r="AB36" s="175"/>
      <c r="AC36" s="162">
        <f t="shared" ca="1" si="8"/>
        <v>34199.094756472594</v>
      </c>
      <c r="AD36" s="163">
        <f t="shared" si="9"/>
        <v>41868.103771445589</v>
      </c>
      <c r="AE36" s="176"/>
      <c r="AF36" s="162">
        <f t="shared" si="10"/>
        <v>41868.103771445589</v>
      </c>
      <c r="AG36" s="147"/>
      <c r="AH36" s="165">
        <v>41868.103771445582</v>
      </c>
      <c r="AI36" s="100">
        <v>39</v>
      </c>
      <c r="AJ36" s="166">
        <f t="shared" si="11"/>
        <v>0</v>
      </c>
      <c r="AK36" s="100">
        <f t="shared" si="12"/>
        <v>0</v>
      </c>
    </row>
    <row r="37" spans="1:37" s="100" customFormat="1" ht="18" customHeight="1">
      <c r="A37" s="136"/>
      <c r="B37" s="167" t="s">
        <v>189</v>
      </c>
      <c r="C37" s="132" t="s">
        <v>192</v>
      </c>
      <c r="D37" s="128">
        <v>40</v>
      </c>
      <c r="E37" s="153">
        <f t="shared" ca="1" si="29"/>
        <v>1002.1712749149476</v>
      </c>
      <c r="F37" s="154">
        <v>1000.0110087112902</v>
      </c>
      <c r="G37" s="155">
        <f t="shared" ca="1" si="1"/>
        <v>2.1602424221723003E-3</v>
      </c>
      <c r="H37" s="153">
        <v>1288.2492543916665</v>
      </c>
      <c r="I37" s="154">
        <v>1288.2492543916665</v>
      </c>
      <c r="J37" s="155">
        <f t="shared" si="2"/>
        <v>0</v>
      </c>
      <c r="K37" s="153">
        <v>0</v>
      </c>
      <c r="L37" s="154">
        <v>0</v>
      </c>
      <c r="M37" s="155">
        <v>0</v>
      </c>
      <c r="N37" s="153">
        <f t="shared" ca="1" si="3"/>
        <v>2290.4205293066143</v>
      </c>
      <c r="O37" s="154">
        <f t="shared" si="4"/>
        <v>2288.2602631029567</v>
      </c>
      <c r="P37" s="155">
        <f t="shared" ca="1" si="5"/>
        <v>9.4406490314531092E-4</v>
      </c>
      <c r="Q37" s="156">
        <v>14</v>
      </c>
      <c r="R37" s="157"/>
      <c r="T37" s="98">
        <f t="shared" si="26"/>
        <v>560</v>
      </c>
      <c r="U37" s="158">
        <f t="shared" si="30"/>
        <v>7.1134170519765528E-3</v>
      </c>
      <c r="V37" s="175"/>
      <c r="W37" s="159">
        <f t="shared" si="31"/>
        <v>0.2184161073825503</v>
      </c>
      <c r="X37" s="98"/>
      <c r="Y37" s="159"/>
      <c r="Z37" s="161">
        <f t="shared" si="7"/>
        <v>3.057825503355704</v>
      </c>
      <c r="AA37" s="161"/>
      <c r="AB37" s="175"/>
      <c r="AC37" s="162">
        <f t="shared" ca="1" si="8"/>
        <v>14030.397848809267</v>
      </c>
      <c r="AD37" s="163">
        <f t="shared" si="9"/>
        <v>18035.489561483329</v>
      </c>
      <c r="AE37" s="176"/>
      <c r="AF37" s="162">
        <f t="shared" si="10"/>
        <v>18035.489561483329</v>
      </c>
      <c r="AH37" s="165">
        <v>18035.489561483329</v>
      </c>
      <c r="AI37" s="100">
        <v>14</v>
      </c>
      <c r="AJ37" s="166">
        <f t="shared" si="11"/>
        <v>0</v>
      </c>
      <c r="AK37" s="100">
        <f t="shared" si="12"/>
        <v>0</v>
      </c>
    </row>
    <row r="38" spans="1:37" s="100" customFormat="1" ht="18" customHeight="1">
      <c r="A38" s="136"/>
      <c r="B38" s="167" t="s">
        <v>189</v>
      </c>
      <c r="C38" s="132" t="s">
        <v>191</v>
      </c>
      <c r="D38" s="128">
        <v>50</v>
      </c>
      <c r="E38" s="153">
        <f t="shared" ca="1" si="29"/>
        <v>1252.7140936436849</v>
      </c>
      <c r="F38" s="154">
        <v>1250.013760889113</v>
      </c>
      <c r="G38" s="155">
        <f t="shared" ca="1" si="1"/>
        <v>2.1602424221724135E-3</v>
      </c>
      <c r="H38" s="153">
        <v>1594.9752722321182</v>
      </c>
      <c r="I38" s="154">
        <v>1594.9752722321182</v>
      </c>
      <c r="J38" s="155">
        <f t="shared" si="2"/>
        <v>0</v>
      </c>
      <c r="K38" s="153">
        <v>0</v>
      </c>
      <c r="L38" s="154">
        <v>0</v>
      </c>
      <c r="M38" s="155">
        <v>0</v>
      </c>
      <c r="N38" s="153">
        <f t="shared" ca="1" si="3"/>
        <v>2847.6893658758031</v>
      </c>
      <c r="O38" s="154">
        <f t="shared" si="4"/>
        <v>2844.9890331212309</v>
      </c>
      <c r="P38" s="155">
        <f t="shared" ca="1" si="5"/>
        <v>9.4915401189073982E-4</v>
      </c>
      <c r="Q38" s="156">
        <v>13</v>
      </c>
      <c r="R38" s="157"/>
      <c r="T38" s="98">
        <f t="shared" si="26"/>
        <v>650</v>
      </c>
      <c r="U38" s="158">
        <f t="shared" si="30"/>
        <v>8.2566447924727858E-3</v>
      </c>
      <c r="V38" s="175"/>
      <c r="W38" s="159">
        <f t="shared" si="31"/>
        <v>0.27302013422818788</v>
      </c>
      <c r="X38" s="98"/>
      <c r="Y38" s="159"/>
      <c r="Z38" s="161">
        <f t="shared" si="7"/>
        <v>3.5492617449664423</v>
      </c>
      <c r="AA38" s="161"/>
      <c r="AB38" s="175"/>
      <c r="AC38" s="162">
        <f t="shared" ca="1" si="8"/>
        <v>16285.283217367903</v>
      </c>
      <c r="AD38" s="163">
        <f t="shared" si="9"/>
        <v>20734.678539017536</v>
      </c>
      <c r="AE38" s="176"/>
      <c r="AF38" s="162">
        <f t="shared" si="10"/>
        <v>20734.678539017536</v>
      </c>
      <c r="AH38" s="165">
        <v>20734.678539017536</v>
      </c>
      <c r="AI38" s="100">
        <v>13</v>
      </c>
      <c r="AJ38" s="166">
        <f t="shared" si="11"/>
        <v>0</v>
      </c>
      <c r="AK38" s="165">
        <f t="shared" si="12"/>
        <v>0</v>
      </c>
    </row>
    <row r="39" spans="1:37" s="100" customFormat="1" ht="18" customHeight="1">
      <c r="A39" s="136"/>
      <c r="B39" s="167" t="s">
        <v>200</v>
      </c>
      <c r="C39" s="132" t="s">
        <v>201</v>
      </c>
      <c r="D39" s="128">
        <v>25</v>
      </c>
      <c r="E39" s="153">
        <f t="shared" ca="1" si="29"/>
        <v>626.35704682184235</v>
      </c>
      <c r="F39" s="154">
        <v>625.00688044455649</v>
      </c>
      <c r="G39" s="155">
        <f t="shared" ca="1" si="1"/>
        <v>2.1602424221722318E-3</v>
      </c>
      <c r="H39" s="153">
        <v>766.81511045741718</v>
      </c>
      <c r="I39" s="154">
        <v>766.81511045741718</v>
      </c>
      <c r="J39" s="155">
        <f t="shared" si="2"/>
        <v>0</v>
      </c>
      <c r="K39" s="153">
        <v>0</v>
      </c>
      <c r="L39" s="154">
        <v>0</v>
      </c>
      <c r="M39" s="155">
        <v>0</v>
      </c>
      <c r="N39" s="153">
        <f t="shared" ca="1" si="3"/>
        <v>1393.1721572792594</v>
      </c>
      <c r="O39" s="154">
        <f t="shared" si="4"/>
        <v>1391.8219909019735</v>
      </c>
      <c r="P39" s="155">
        <f t="shared" ca="1" si="5"/>
        <v>9.7007116291565468E-4</v>
      </c>
      <c r="Q39" s="156">
        <v>46</v>
      </c>
      <c r="R39" s="157"/>
      <c r="T39" s="98">
        <f t="shared" si="26"/>
        <v>1150</v>
      </c>
      <c r="U39" s="158">
        <f t="shared" si="30"/>
        <v>1.4607910017451851E-2</v>
      </c>
      <c r="V39" s="175"/>
      <c r="W39" s="159">
        <f t="shared" si="31"/>
        <v>0.13651006711409394</v>
      </c>
      <c r="X39" s="98"/>
      <c r="Y39" s="159"/>
      <c r="Z39" s="161">
        <f t="shared" si="7"/>
        <v>6.2794630872483213</v>
      </c>
      <c r="AA39" s="161"/>
      <c r="AB39" s="175"/>
      <c r="AC39" s="162">
        <f t="shared" ca="1" si="8"/>
        <v>28812.42415380475</v>
      </c>
      <c r="AD39" s="163">
        <f t="shared" si="9"/>
        <v>35273.49508104119</v>
      </c>
      <c r="AE39" s="176"/>
      <c r="AF39" s="162">
        <f t="shared" si="10"/>
        <v>35273.49508104119</v>
      </c>
      <c r="AH39" s="177">
        <v>35273.49508104119</v>
      </c>
      <c r="AI39" s="178">
        <v>46</v>
      </c>
      <c r="AJ39" s="179">
        <f t="shared" si="11"/>
        <v>0</v>
      </c>
      <c r="AK39" s="177">
        <f t="shared" si="12"/>
        <v>0</v>
      </c>
    </row>
    <row r="40" spans="1:37" s="190" customFormat="1" ht="18" customHeight="1">
      <c r="A40" s="180" t="s">
        <v>202</v>
      </c>
      <c r="B40" s="181"/>
      <c r="C40" s="182" t="s">
        <v>186</v>
      </c>
      <c r="D40" s="183">
        <v>50</v>
      </c>
      <c r="E40" s="184">
        <f t="shared" ca="1" si="29"/>
        <v>1274.6682108207033</v>
      </c>
      <c r="F40" s="185">
        <v>0</v>
      </c>
      <c r="G40" s="186" t="s">
        <v>203</v>
      </c>
      <c r="H40" s="184">
        <v>1592.8886222106896</v>
      </c>
      <c r="I40" s="185">
        <v>0</v>
      </c>
      <c r="J40" s="186" t="s">
        <v>203</v>
      </c>
      <c r="K40" s="187">
        <v>0</v>
      </c>
      <c r="L40" s="185">
        <v>0</v>
      </c>
      <c r="M40" s="186">
        <v>0</v>
      </c>
      <c r="N40" s="184">
        <f t="shared" ca="1" si="3"/>
        <v>2867.5568330313927</v>
      </c>
      <c r="O40" s="185">
        <f t="shared" si="4"/>
        <v>0</v>
      </c>
      <c r="P40" s="186" t="s">
        <v>203</v>
      </c>
      <c r="Q40" s="188">
        <f>40+66</f>
        <v>106</v>
      </c>
      <c r="R40" s="189">
        <f t="shared" ref="R40:R41" si="32">S40</f>
        <v>29.447317073170733</v>
      </c>
      <c r="S40" s="190">
        <f>S57*(66+40)</f>
        <v>29.447317073170733</v>
      </c>
      <c r="T40" s="191"/>
      <c r="U40" s="192">
        <f t="shared" ref="U40:U41" si="33">S40/S$52</f>
        <v>6.8503270436254871E-2</v>
      </c>
      <c r="V40" s="192"/>
      <c r="W40" s="193"/>
      <c r="X40" s="191"/>
      <c r="Y40" s="193">
        <f t="shared" ref="Y40:Y42" si="34">W40*X40</f>
        <v>0</v>
      </c>
      <c r="Z40" s="194">
        <f t="shared" ref="Z40:Z42" si="35">S40</f>
        <v>29.447317073170733</v>
      </c>
      <c r="AA40" s="194"/>
      <c r="AB40" s="192"/>
      <c r="AC40" s="195">
        <f t="shared" ca="1" si="8"/>
        <v>135114.83034699454</v>
      </c>
      <c r="AD40" s="196">
        <f t="shared" si="9"/>
        <v>168846.19395433311</v>
      </c>
      <c r="AE40" s="197"/>
      <c r="AF40" s="195">
        <f t="shared" si="10"/>
        <v>168846.19395433311</v>
      </c>
    </row>
    <row r="41" spans="1:37" s="100" customFormat="1" ht="18" customHeight="1">
      <c r="A41" s="136" t="s">
        <v>204</v>
      </c>
      <c r="B41" s="128"/>
      <c r="C41" s="132" t="s">
        <v>204</v>
      </c>
      <c r="D41" s="128"/>
      <c r="E41" s="153">
        <f ca="1">AC41</f>
        <v>1284.740215998391</v>
      </c>
      <c r="F41" s="154">
        <v>1281.9708481881464</v>
      </c>
      <c r="G41" s="155">
        <f ca="1">(+E41-F41)/F41</f>
        <v>2.1602424221725835E-3</v>
      </c>
      <c r="H41" s="153">
        <v>0</v>
      </c>
      <c r="I41" s="154">
        <v>0</v>
      </c>
      <c r="J41" s="155" t="s">
        <v>203</v>
      </c>
      <c r="K41" s="153">
        <v>1541.5219199499609</v>
      </c>
      <c r="L41" s="154">
        <v>1541.5219199499609</v>
      </c>
      <c r="M41" s="155">
        <f t="shared" ref="M41:M42" si="36">(+K41-L41)/L41</f>
        <v>0</v>
      </c>
      <c r="N41" s="153">
        <f t="shared" ref="N41:N42" ca="1" si="37">K41+E41</f>
        <v>2826.2621359483519</v>
      </c>
      <c r="O41" s="154">
        <f t="shared" ref="O41:O42" si="38">L41+F41</f>
        <v>2823.4927681381073</v>
      </c>
      <c r="P41" s="155">
        <f t="shared" ref="P41:P42" ca="1" si="39">(+N41-O41)/O41</f>
        <v>9.8083049529848953E-4</v>
      </c>
      <c r="Q41" s="156"/>
      <c r="R41" s="198">
        <f t="shared" si="32"/>
        <v>0.28000000000000003</v>
      </c>
      <c r="S41" s="146">
        <v>0.28000000000000003</v>
      </c>
      <c r="T41" s="98"/>
      <c r="U41" s="175">
        <f t="shared" si="33"/>
        <v>6.5136377872695842E-4</v>
      </c>
      <c r="V41" s="175"/>
      <c r="W41" s="159"/>
      <c r="X41" s="98"/>
      <c r="Y41" s="159">
        <f t="shared" si="34"/>
        <v>0</v>
      </c>
      <c r="Z41" s="161">
        <f t="shared" si="35"/>
        <v>0.28000000000000003</v>
      </c>
      <c r="AA41" s="161">
        <f>Z41</f>
        <v>0.28000000000000003</v>
      </c>
      <c r="AB41" s="175"/>
      <c r="AC41" s="162">
        <f t="shared" ca="1" si="8"/>
        <v>1284.740215998391</v>
      </c>
      <c r="AD41" s="176"/>
      <c r="AE41" s="199">
        <f t="shared" ref="AE41:AE42" si="40">K41</f>
        <v>1541.5219199499609</v>
      </c>
      <c r="AF41" s="162">
        <f t="shared" si="10"/>
        <v>1541.5219199499609</v>
      </c>
      <c r="AG41" s="199"/>
      <c r="AH41" s="165">
        <f>SUM(AH12:AH39)</f>
        <v>1030920.512841157</v>
      </c>
      <c r="AI41" s="100">
        <f>SUM(AI12:AI39)</f>
        <v>857</v>
      </c>
      <c r="AJ41" s="100">
        <f>SUM(AJ12:AJ39)</f>
        <v>11</v>
      </c>
      <c r="AK41" s="165">
        <f>SUM(AK12:AK39)</f>
        <v>23539.939183242539</v>
      </c>
    </row>
    <row r="42" spans="1:37" s="100" customFormat="1" ht="18" customHeight="1">
      <c r="A42" s="123" t="s">
        <v>205</v>
      </c>
      <c r="B42" s="117"/>
      <c r="C42" s="118" t="s">
        <v>206</v>
      </c>
      <c r="D42" s="117"/>
      <c r="E42" s="170">
        <v>0</v>
      </c>
      <c r="F42" s="171">
        <v>0</v>
      </c>
      <c r="G42" s="172" t="s">
        <v>203</v>
      </c>
      <c r="H42" s="170">
        <v>0</v>
      </c>
      <c r="I42" s="171">
        <v>0</v>
      </c>
      <c r="J42" s="172" t="s">
        <v>203</v>
      </c>
      <c r="K42" s="170">
        <v>52624.276139332957</v>
      </c>
      <c r="L42" s="171">
        <v>52624.276139332957</v>
      </c>
      <c r="M42" s="172">
        <f t="shared" si="36"/>
        <v>0</v>
      </c>
      <c r="N42" s="170">
        <f t="shared" si="37"/>
        <v>52624.276139332957</v>
      </c>
      <c r="O42" s="171">
        <f t="shared" si="38"/>
        <v>52624.276139332957</v>
      </c>
      <c r="P42" s="172">
        <f t="shared" si="39"/>
        <v>0</v>
      </c>
      <c r="Q42" s="173"/>
      <c r="R42" s="200"/>
      <c r="S42" s="146"/>
      <c r="T42" s="98"/>
      <c r="U42" s="175"/>
      <c r="V42" s="175"/>
      <c r="W42" s="159"/>
      <c r="X42" s="98"/>
      <c r="Y42" s="159">
        <f t="shared" si="34"/>
        <v>0</v>
      </c>
      <c r="Z42" s="161">
        <f t="shared" si="35"/>
        <v>0</v>
      </c>
      <c r="AA42" s="161"/>
      <c r="AB42" s="175"/>
      <c r="AC42" s="147"/>
      <c r="AE42" s="199">
        <f t="shared" si="40"/>
        <v>52624.276139332957</v>
      </c>
      <c r="AF42" s="162"/>
      <c r="AG42" s="146"/>
      <c r="AH42" s="165"/>
      <c r="AI42" s="150" t="s">
        <v>207</v>
      </c>
    </row>
    <row r="43" spans="1:37" s="100" customFormat="1" ht="18" customHeight="1">
      <c r="A43" s="201" t="s">
        <v>208</v>
      </c>
      <c r="B43" s="202"/>
      <c r="C43" s="203"/>
      <c r="D43" s="204"/>
      <c r="E43" s="205"/>
      <c r="F43" s="206"/>
      <c r="G43" s="143"/>
      <c r="H43" s="205"/>
      <c r="I43" s="206"/>
      <c r="J43" s="143"/>
      <c r="K43" s="205"/>
      <c r="L43" s="206"/>
      <c r="M43" s="143"/>
      <c r="N43" s="205"/>
      <c r="O43" s="206"/>
      <c r="P43" s="143"/>
      <c r="Q43" s="207"/>
      <c r="R43" s="204"/>
      <c r="S43" s="146"/>
      <c r="T43" s="98"/>
      <c r="U43" s="146"/>
      <c r="V43" s="146"/>
      <c r="W43" s="159"/>
      <c r="X43" s="208"/>
      <c r="Y43" s="159"/>
      <c r="Z43" s="161"/>
      <c r="AA43" s="161"/>
      <c r="AB43" s="146"/>
      <c r="AC43" s="209"/>
      <c r="AD43" s="209"/>
      <c r="AE43" s="176"/>
      <c r="AF43" s="162"/>
      <c r="AG43" s="146"/>
      <c r="AH43" s="165" t="s">
        <v>209</v>
      </c>
      <c r="AI43" s="150" t="s">
        <v>210</v>
      </c>
    </row>
    <row r="44" spans="1:37" s="190" customFormat="1" ht="18" customHeight="1">
      <c r="A44" s="180" t="s">
        <v>211</v>
      </c>
      <c r="B44" s="181"/>
      <c r="C44" s="182" t="s">
        <v>186</v>
      </c>
      <c r="D44" s="183"/>
      <c r="E44" s="184">
        <f ca="1">AC44/$Q44</f>
        <v>1197.9886075708146</v>
      </c>
      <c r="F44" s="185">
        <v>0</v>
      </c>
      <c r="G44" s="186" t="s">
        <v>203</v>
      </c>
      <c r="H44" s="184">
        <v>1497.3153048780489</v>
      </c>
      <c r="I44" s="185">
        <v>0</v>
      </c>
      <c r="J44" s="186" t="s">
        <v>203</v>
      </c>
      <c r="K44" s="187">
        <v>0</v>
      </c>
      <c r="L44" s="185">
        <v>0</v>
      </c>
      <c r="M44" s="186">
        <v>0</v>
      </c>
      <c r="N44" s="184">
        <f ca="1">H44+E44+K44</f>
        <v>2695.3039124488632</v>
      </c>
      <c r="O44" s="185">
        <f>I44+F44+L44</f>
        <v>0</v>
      </c>
      <c r="P44" s="186">
        <v>0</v>
      </c>
      <c r="Q44" s="188">
        <v>58</v>
      </c>
      <c r="R44" s="189">
        <f>S44</f>
        <v>16.11</v>
      </c>
      <c r="S44" s="190">
        <v>16.11</v>
      </c>
      <c r="T44" s="191"/>
      <c r="U44" s="192">
        <f>S44/S$52</f>
        <v>3.7476680268897493E-2</v>
      </c>
      <c r="V44" s="192"/>
      <c r="W44" s="193"/>
      <c r="X44" s="191"/>
      <c r="Y44" s="193">
        <f>W44*X44</f>
        <v>0</v>
      </c>
      <c r="Z44" s="194">
        <f>S44</f>
        <v>16.11</v>
      </c>
      <c r="AA44" s="194"/>
      <c r="AB44" s="192"/>
      <c r="AC44" s="210">
        <f ca="1">AD$6*U44</f>
        <v>69483.339239107241</v>
      </c>
      <c r="AD44" s="195">
        <f>Q44*H44</f>
        <v>86844.287682926835</v>
      </c>
      <c r="AE44" s="197"/>
      <c r="AF44" s="195">
        <f>SUM(AE44:AE44)/0.94</f>
        <v>0</v>
      </c>
      <c r="AH44" s="211">
        <f>SUM(AD12:AD39)</f>
        <v>1007380.5736579145</v>
      </c>
      <c r="AI44" s="211">
        <f>AH41-AK41</f>
        <v>1007380.5736579145</v>
      </c>
    </row>
    <row r="45" spans="1:37" s="100" customFormat="1" ht="18" customHeight="1">
      <c r="A45" s="136"/>
      <c r="B45" s="212"/>
      <c r="C45" s="213"/>
      <c r="D45" s="214"/>
      <c r="E45" s="215"/>
      <c r="F45" s="154"/>
      <c r="G45" s="155"/>
      <c r="H45" s="215"/>
      <c r="I45" s="154"/>
      <c r="J45" s="155"/>
      <c r="K45" s="216"/>
      <c r="L45" s="154"/>
      <c r="M45" s="155"/>
      <c r="N45" s="215"/>
      <c r="O45" s="154"/>
      <c r="P45" s="155"/>
      <c r="Q45" s="198"/>
      <c r="R45" s="217"/>
      <c r="S45" s="146"/>
      <c r="T45" s="98"/>
      <c r="U45" s="175"/>
      <c r="V45" s="175"/>
      <c r="W45" s="159"/>
      <c r="X45" s="98"/>
      <c r="Y45" s="159"/>
      <c r="Z45" s="161"/>
      <c r="AA45" s="161"/>
      <c r="AB45" s="175"/>
      <c r="AC45" s="147"/>
      <c r="AD45" s="162"/>
      <c r="AE45" s="176"/>
      <c r="AF45" s="162"/>
      <c r="AG45" s="146"/>
    </row>
    <row r="46" spans="1:37" s="190" customFormat="1" ht="18" customHeight="1">
      <c r="A46" s="180" t="s">
        <v>212</v>
      </c>
      <c r="B46" s="218"/>
      <c r="C46" s="219" t="s">
        <v>189</v>
      </c>
      <c r="D46" s="183">
        <v>40</v>
      </c>
      <c r="E46" s="184">
        <f ca="1">AC46/$Q46</f>
        <v>1202.335733421578</v>
      </c>
      <c r="F46" s="220">
        <v>0</v>
      </c>
      <c r="G46" s="186">
        <v>0</v>
      </c>
      <c r="H46" s="184">
        <v>0</v>
      </c>
      <c r="I46" s="220">
        <v>0</v>
      </c>
      <c r="J46" s="186">
        <v>0</v>
      </c>
      <c r="K46" s="221">
        <v>1442.6475860613921</v>
      </c>
      <c r="L46" s="220">
        <v>0</v>
      </c>
      <c r="M46" s="186">
        <v>0</v>
      </c>
      <c r="N46" s="184">
        <f t="shared" ref="N46:N50" ca="1" si="41">H46+E46+K46</f>
        <v>2644.9833194829698</v>
      </c>
      <c r="O46" s="185">
        <f t="shared" ref="O46:O50" si="42">I46+F46+L46</f>
        <v>0</v>
      </c>
      <c r="P46" s="186">
        <v>0</v>
      </c>
      <c r="Q46" s="188">
        <v>186</v>
      </c>
      <c r="R46" s="189"/>
      <c r="S46" s="222">
        <f>131.86+26.34</f>
        <v>158.20000000000002</v>
      </c>
      <c r="T46" s="191">
        <f t="shared" ref="T46:T48" si="43">+D46*Q46</f>
        <v>7440</v>
      </c>
      <c r="U46" s="223">
        <f t="shared" ref="U46:U48" si="44">(T46/SUM(T$46:T$48))*S$46/S$52</f>
        <v>0.12061994626681245</v>
      </c>
      <c r="V46" s="192"/>
      <c r="W46" s="193">
        <f t="shared" ref="W46:W48" si="45">S$46*(T46/SUM(T$46:T$48))/Q46</f>
        <v>0.27876651982378858</v>
      </c>
      <c r="X46" s="191"/>
      <c r="Y46" s="193">
        <f t="shared" ref="Y46:Y50" si="46">W46*X46</f>
        <v>0</v>
      </c>
      <c r="Z46" s="194">
        <f t="shared" ref="Z46:Z48" si="47">W46*Q46-Y46</f>
        <v>51.850572687224677</v>
      </c>
      <c r="AA46" s="194">
        <f t="shared" ref="AA46:AA50" si="48">Z46</f>
        <v>51.850572687224677</v>
      </c>
      <c r="AB46" s="192"/>
      <c r="AC46" s="210">
        <f t="shared" ref="AC46:AC48" ca="1" si="49">AD$6*U46</f>
        <v>223634.4464164135</v>
      </c>
      <c r="AD46" s="197"/>
      <c r="AE46" s="197">
        <f t="shared" ref="AE46:AE48" si="50">Q46*K46</f>
        <v>268332.45100741892</v>
      </c>
      <c r="AF46" s="195">
        <f t="shared" ref="AF46:AF50" si="51">SUM(AD46:AE46)/0.94</f>
        <v>285460.05426321161</v>
      </c>
      <c r="AG46" s="197"/>
    </row>
    <row r="47" spans="1:37" s="190" customFormat="1" ht="18" customHeight="1">
      <c r="A47" s="180"/>
      <c r="B47" s="218"/>
      <c r="C47" s="219" t="s">
        <v>189</v>
      </c>
      <c r="D47" s="183">
        <v>50</v>
      </c>
      <c r="E47" s="184">
        <f t="shared" ref="E47:E48" ca="1" si="52">AC47/Q47</f>
        <v>1502.9196667769722</v>
      </c>
      <c r="F47" s="220">
        <v>0</v>
      </c>
      <c r="G47" s="186">
        <v>0</v>
      </c>
      <c r="H47" s="184">
        <v>0</v>
      </c>
      <c r="I47" s="220">
        <v>0</v>
      </c>
      <c r="J47" s="186">
        <v>0</v>
      </c>
      <c r="K47" s="221">
        <v>1803.30948257674</v>
      </c>
      <c r="L47" s="220">
        <v>0</v>
      </c>
      <c r="M47" s="186">
        <v>0</v>
      </c>
      <c r="N47" s="184">
        <f t="shared" ca="1" si="41"/>
        <v>3306.2291493537123</v>
      </c>
      <c r="O47" s="185">
        <f t="shared" si="42"/>
        <v>0</v>
      </c>
      <c r="P47" s="186">
        <v>0</v>
      </c>
      <c r="Q47" s="188">
        <v>220</v>
      </c>
      <c r="R47" s="189"/>
      <c r="S47" s="222"/>
      <c r="T47" s="191">
        <f t="shared" si="43"/>
        <v>11000</v>
      </c>
      <c r="U47" s="223">
        <f t="shared" si="44"/>
        <v>0.17833594206114742</v>
      </c>
      <c r="V47" s="192"/>
      <c r="W47" s="193">
        <f t="shared" si="45"/>
        <v>0.34845814977973566</v>
      </c>
      <c r="X47" s="191"/>
      <c r="Y47" s="193">
        <f t="shared" si="46"/>
        <v>0</v>
      </c>
      <c r="Z47" s="194">
        <f t="shared" si="47"/>
        <v>76.66079295154185</v>
      </c>
      <c r="AA47" s="194">
        <f t="shared" si="48"/>
        <v>76.66079295154185</v>
      </c>
      <c r="AB47" s="192"/>
      <c r="AC47" s="210">
        <f t="shared" ca="1" si="49"/>
        <v>330642.3266909339</v>
      </c>
      <c r="AD47" s="197"/>
      <c r="AE47" s="197">
        <f t="shared" si="50"/>
        <v>396728.08616688283</v>
      </c>
      <c r="AF47" s="195">
        <f t="shared" si="51"/>
        <v>422051.1554966839</v>
      </c>
      <c r="AG47" s="222"/>
    </row>
    <row r="48" spans="1:37" s="190" customFormat="1" ht="18" customHeight="1">
      <c r="A48" s="180"/>
      <c r="B48" s="218"/>
      <c r="C48" s="219" t="s">
        <v>189</v>
      </c>
      <c r="D48" s="183">
        <v>60</v>
      </c>
      <c r="E48" s="184">
        <f t="shared" ca="1" si="52"/>
        <v>1803.5036001323665</v>
      </c>
      <c r="F48" s="220">
        <v>0</v>
      </c>
      <c r="G48" s="186">
        <v>0</v>
      </c>
      <c r="H48" s="184">
        <v>0</v>
      </c>
      <c r="I48" s="220">
        <v>0</v>
      </c>
      <c r="J48" s="186">
        <v>0</v>
      </c>
      <c r="K48" s="221">
        <v>2163.9713790920882</v>
      </c>
      <c r="L48" s="220">
        <v>0</v>
      </c>
      <c r="M48" s="186">
        <v>0</v>
      </c>
      <c r="N48" s="184">
        <f t="shared" ca="1" si="41"/>
        <v>3967.4749792244547</v>
      </c>
      <c r="O48" s="185">
        <f t="shared" si="42"/>
        <v>0</v>
      </c>
      <c r="P48" s="186">
        <v>0</v>
      </c>
      <c r="Q48" s="188">
        <v>71</v>
      </c>
      <c r="R48" s="189"/>
      <c r="S48" s="222"/>
      <c r="T48" s="191">
        <f t="shared" si="43"/>
        <v>4260</v>
      </c>
      <c r="U48" s="223">
        <f t="shared" si="44"/>
        <v>6.9064646652771636E-2</v>
      </c>
      <c r="V48" s="192"/>
      <c r="W48" s="193">
        <f t="shared" si="45"/>
        <v>0.41814977973568285</v>
      </c>
      <c r="X48" s="191"/>
      <c r="Y48" s="193">
        <f t="shared" si="46"/>
        <v>0</v>
      </c>
      <c r="Z48" s="194">
        <f t="shared" si="47"/>
        <v>29.688634361233483</v>
      </c>
      <c r="AA48" s="194">
        <f t="shared" si="48"/>
        <v>29.688634361233483</v>
      </c>
      <c r="AB48" s="192"/>
      <c r="AC48" s="210">
        <f t="shared" ca="1" si="49"/>
        <v>128048.75560939802</v>
      </c>
      <c r="AD48" s="197"/>
      <c r="AE48" s="197">
        <f t="shared" si="50"/>
        <v>153641.96791553826</v>
      </c>
      <c r="AF48" s="195">
        <f t="shared" si="51"/>
        <v>163448.90203780666</v>
      </c>
      <c r="AG48" s="222"/>
    </row>
    <row r="49" spans="1:34" s="100" customFormat="1" ht="18" customHeight="1">
      <c r="A49" s="136" t="s">
        <v>213</v>
      </c>
      <c r="B49" s="212"/>
      <c r="C49" s="213" t="s">
        <v>214</v>
      </c>
      <c r="D49" s="214"/>
      <c r="E49" s="215">
        <f ca="1">AD6/S52</f>
        <v>4313.0564394231687</v>
      </c>
      <c r="F49" s="154">
        <v>4303.7592760602056</v>
      </c>
      <c r="G49" s="155">
        <f t="shared" ref="G49:G50" ca="1" si="53">(+E49-F49)/F49</f>
        <v>2.1602424221723801E-3</v>
      </c>
      <c r="H49" s="215">
        <v>0</v>
      </c>
      <c r="I49" s="154">
        <v>0</v>
      </c>
      <c r="J49" s="155">
        <v>0</v>
      </c>
      <c r="K49" s="153">
        <v>5175.1106397965223</v>
      </c>
      <c r="L49" s="154">
        <v>5175.1106397965223</v>
      </c>
      <c r="M49" s="155">
        <f t="shared" ref="M49:M50" si="54">(+K49-L49)/L49</f>
        <v>0</v>
      </c>
      <c r="N49" s="215">
        <f t="shared" ca="1" si="41"/>
        <v>9488.167079219691</v>
      </c>
      <c r="O49" s="154">
        <f t="shared" si="42"/>
        <v>9478.8699158567288</v>
      </c>
      <c r="P49" s="155">
        <f t="shared" ref="P49:P50" ca="1" si="55">(+N49-O49)/O49</f>
        <v>9.8083035694049108E-4</v>
      </c>
      <c r="Q49" s="198"/>
      <c r="R49" s="217">
        <f t="shared" ref="R49:R50" si="56">S49</f>
        <v>29.97</v>
      </c>
      <c r="S49" s="146">
        <f>30.25-0.28</f>
        <v>29.97</v>
      </c>
      <c r="T49" s="98"/>
      <c r="U49" s="175">
        <f t="shared" ref="U49:U50" si="57">S49/S$52</f>
        <v>6.9719187315881934E-2</v>
      </c>
      <c r="V49" s="175"/>
      <c r="W49" s="159"/>
      <c r="X49" s="98"/>
      <c r="Y49" s="159">
        <f t="shared" si="46"/>
        <v>0</v>
      </c>
      <c r="Z49" s="161">
        <f t="shared" ref="Z49:Z50" si="58">S49</f>
        <v>29.97</v>
      </c>
      <c r="AA49" s="161">
        <f t="shared" si="48"/>
        <v>29.97</v>
      </c>
      <c r="AB49" s="175"/>
      <c r="AC49" s="147">
        <f t="shared" ref="AC49:AC50" ca="1" si="59">E49*S49</f>
        <v>129262.30148951236</v>
      </c>
      <c r="AD49" s="176"/>
      <c r="AE49" s="176">
        <f t="shared" ref="AE49:AE50" si="60">R49*K49</f>
        <v>155098.06587470177</v>
      </c>
      <c r="AF49" s="162">
        <f t="shared" si="51"/>
        <v>164997.94241989552</v>
      </c>
      <c r="AG49" s="146"/>
      <c r="AH49" s="165"/>
    </row>
    <row r="50" spans="1:34" s="100" customFormat="1" ht="18" customHeight="1">
      <c r="A50" s="123" t="s">
        <v>215</v>
      </c>
      <c r="B50" s="224"/>
      <c r="C50" s="224"/>
      <c r="D50" s="224"/>
      <c r="E50" s="170">
        <f ca="1">E49</f>
        <v>4313.0564394231687</v>
      </c>
      <c r="F50" s="171">
        <v>4303.7592760602056</v>
      </c>
      <c r="G50" s="172">
        <f t="shared" ca="1" si="53"/>
        <v>2.1602424221723801E-3</v>
      </c>
      <c r="H50" s="170">
        <v>0</v>
      </c>
      <c r="I50" s="171">
        <v>0</v>
      </c>
      <c r="J50" s="172">
        <v>0</v>
      </c>
      <c r="K50" s="170">
        <v>5175.1106675108258</v>
      </c>
      <c r="L50" s="171">
        <v>5175.1106675108258</v>
      </c>
      <c r="M50" s="172">
        <f t="shared" si="54"/>
        <v>0</v>
      </c>
      <c r="N50" s="225">
        <f t="shared" ca="1" si="41"/>
        <v>9488.1671069339936</v>
      </c>
      <c r="O50" s="171">
        <f t="shared" si="42"/>
        <v>9478.8699435710314</v>
      </c>
      <c r="P50" s="172">
        <f t="shared" ca="1" si="55"/>
        <v>9.8083035407274099E-4</v>
      </c>
      <c r="Q50" s="200"/>
      <c r="R50" s="226">
        <f t="shared" si="56"/>
        <v>7.58</v>
      </c>
      <c r="S50" s="146">
        <v>7.58</v>
      </c>
      <c r="T50" s="98"/>
      <c r="U50" s="175">
        <f t="shared" si="57"/>
        <v>1.763334800982266E-2</v>
      </c>
      <c r="V50" s="175"/>
      <c r="W50" s="159"/>
      <c r="X50" s="98"/>
      <c r="Y50" s="159">
        <f t="shared" si="46"/>
        <v>0</v>
      </c>
      <c r="Z50" s="161">
        <f t="shared" si="58"/>
        <v>7.58</v>
      </c>
      <c r="AA50" s="161">
        <f t="shared" si="48"/>
        <v>7.58</v>
      </c>
      <c r="AB50" s="175"/>
      <c r="AC50" s="147">
        <f t="shared" ca="1" si="59"/>
        <v>32692.96781082762</v>
      </c>
      <c r="AD50" s="176"/>
      <c r="AE50" s="176">
        <f t="shared" si="60"/>
        <v>39227.338859732059</v>
      </c>
      <c r="AF50" s="162">
        <f t="shared" si="51"/>
        <v>41731.211552906447</v>
      </c>
      <c r="AG50" s="146"/>
    </row>
    <row r="51" spans="1:34">
      <c r="A51" s="227"/>
      <c r="B51" s="227"/>
      <c r="C51" s="228"/>
      <c r="D51" s="227"/>
      <c r="E51" s="229"/>
      <c r="F51" s="229"/>
      <c r="G51" s="230"/>
      <c r="H51" s="231"/>
      <c r="I51" s="231"/>
      <c r="J51" s="230"/>
      <c r="K51" s="230"/>
      <c r="L51" s="230"/>
      <c r="M51" s="232"/>
      <c r="N51" s="231"/>
      <c r="O51" s="231"/>
      <c r="P51" s="232"/>
      <c r="Q51" s="233"/>
      <c r="R51" s="234"/>
      <c r="S51" s="75"/>
      <c r="U51" s="235"/>
      <c r="V51" s="235"/>
      <c r="W51" s="236"/>
      <c r="Y51" s="236"/>
      <c r="Z51" s="237"/>
      <c r="AA51" s="237"/>
      <c r="AB51" s="235"/>
      <c r="AC51" s="72"/>
      <c r="AD51" s="74"/>
      <c r="AE51" s="74"/>
      <c r="AF51" s="74"/>
      <c r="AG51" s="75"/>
    </row>
    <row r="52" spans="1:34">
      <c r="A52" s="238"/>
      <c r="B52" s="239" t="s">
        <v>216</v>
      </c>
      <c r="C52" s="228"/>
      <c r="D52" s="227"/>
      <c r="E52" s="68"/>
      <c r="F52" s="68"/>
      <c r="G52" s="75"/>
      <c r="H52" s="72"/>
      <c r="I52" s="72"/>
      <c r="J52" s="75"/>
      <c r="K52" s="75"/>
      <c r="L52" s="75"/>
      <c r="M52" s="75"/>
      <c r="N52" s="231"/>
      <c r="O52" s="231"/>
      <c r="P52" s="240" t="s">
        <v>150</v>
      </c>
      <c r="Q52" s="241">
        <f>SUM(Q12:Q50)</f>
        <v>1532</v>
      </c>
      <c r="R52" s="242">
        <f>SUM(R12:R50)</f>
        <v>83.387317073170735</v>
      </c>
      <c r="S52" s="243">
        <f>SUM(S12:S50)</f>
        <v>429.86731707317068</v>
      </c>
      <c r="T52" s="244"/>
      <c r="U52" s="245">
        <v>1</v>
      </c>
      <c r="V52" s="245"/>
      <c r="W52" s="244"/>
      <c r="X52" s="246">
        <f>SUM(X12:X50)</f>
        <v>45</v>
      </c>
      <c r="Y52" s="247">
        <f>SUM(Y12:Y50)</f>
        <v>11.506445754960593</v>
      </c>
      <c r="Z52" s="247">
        <f>SUM(Z12:Z50)</f>
        <v>418.36087131821006</v>
      </c>
      <c r="AA52" s="247">
        <f>SUM(AA41:AA50)</f>
        <v>196.03000000000003</v>
      </c>
      <c r="AB52" s="245"/>
      <c r="AC52" s="248">
        <f ca="1">SUM(AC12:AC50)</f>
        <v>1914059.7359198178</v>
      </c>
      <c r="AD52" s="249">
        <f>SUM(AD12:AD50)</f>
        <v>1263071.0552951745</v>
      </c>
      <c r="AE52" s="248">
        <f>SUM(AE12:AE50)</f>
        <v>1067193.7078835568</v>
      </c>
      <c r="AF52" s="248">
        <f>SUM(AF12:AF50)</f>
        <v>2255457.5553027014</v>
      </c>
      <c r="AG52" s="74"/>
    </row>
    <row r="53" spans="1:34" ht="14.25">
      <c r="A53" s="250"/>
      <c r="C53" s="228"/>
      <c r="P53" s="81"/>
      <c r="Q53" s="69"/>
      <c r="R53" s="69"/>
      <c r="U53" s="235"/>
      <c r="V53" s="235"/>
      <c r="AB53" s="67"/>
      <c r="AC53" s="72"/>
      <c r="AD53" s="251"/>
      <c r="AF53" s="72"/>
    </row>
    <row r="54" spans="1:34" ht="14.25">
      <c r="C54" s="228"/>
      <c r="F54" s="77"/>
      <c r="G54" s="252"/>
      <c r="K54" s="253"/>
      <c r="M54" s="252"/>
      <c r="N54" s="254"/>
      <c r="O54" s="72"/>
      <c r="P54" s="255"/>
      <c r="X54" s="256"/>
      <c r="Z54" s="257"/>
      <c r="AA54" s="257"/>
      <c r="AB54" s="258" t="s">
        <v>217</v>
      </c>
      <c r="AC54" s="259">
        <f ca="1">AC56+AC57-AC52</f>
        <v>0</v>
      </c>
      <c r="AD54" s="259">
        <f>AD56+AD57-AD52</f>
        <v>0</v>
      </c>
      <c r="AE54" s="259">
        <f>AE56+AE57-AE52</f>
        <v>0</v>
      </c>
    </row>
    <row r="55" spans="1:34" ht="14.25">
      <c r="N55" s="254"/>
      <c r="P55" s="81"/>
      <c r="X55" s="256"/>
      <c r="Z55" s="72"/>
      <c r="AB55" s="67"/>
      <c r="AC55" s="72"/>
      <c r="AD55" s="72"/>
      <c r="AF55" s="72"/>
    </row>
    <row r="56" spans="1:34" ht="14.25">
      <c r="G56" s="260"/>
      <c r="H56" s="260"/>
      <c r="I56" s="260"/>
      <c r="J56" s="260"/>
      <c r="K56" s="261"/>
      <c r="L56" s="79"/>
      <c r="N56" s="254"/>
      <c r="P56" s="81"/>
      <c r="S56" s="262" t="s">
        <v>218</v>
      </c>
      <c r="T56" s="263"/>
      <c r="AB56" s="264" t="s">
        <v>219</v>
      </c>
      <c r="AC56" s="72">
        <f ca="1">SUM(AC12:AC42)</f>
        <v>1000295.5986636252</v>
      </c>
      <c r="AD56" s="257">
        <f>SUM(AD12:AD42)</f>
        <v>1176226.7676122477</v>
      </c>
      <c r="AE56" s="72">
        <f>SUM(AE12:AE42)</f>
        <v>54165.798059282919</v>
      </c>
      <c r="AF56" s="72">
        <f>AE56*0.94</f>
        <v>50915.850175725944</v>
      </c>
      <c r="AG56" s="72"/>
    </row>
    <row r="57" spans="1:34" ht="14.25">
      <c r="G57" s="260"/>
      <c r="H57" s="260"/>
      <c r="I57" s="260"/>
      <c r="J57" s="260"/>
      <c r="K57" s="261"/>
      <c r="L57" s="79"/>
      <c r="N57" s="254"/>
      <c r="P57" s="81"/>
      <c r="S57" s="262">
        <f>45.56/164</f>
        <v>0.27780487804878051</v>
      </c>
      <c r="T57" s="263" t="s">
        <v>220</v>
      </c>
      <c r="Z57" s="265"/>
      <c r="AA57" s="264"/>
      <c r="AB57" s="264" t="s">
        <v>221</v>
      </c>
      <c r="AC57" s="72">
        <f ca="1">SUM(AC44:AC50)</f>
        <v>913764.13725619263</v>
      </c>
      <c r="AD57" s="72">
        <f>SUM(AD44:AD50)</f>
        <v>86844.287682926835</v>
      </c>
      <c r="AE57" s="72">
        <f>SUM(AE46:AE50)</f>
        <v>1013027.9098242738</v>
      </c>
      <c r="AF57" s="72">
        <f>AE57</f>
        <v>1013027.9098242738</v>
      </c>
    </row>
    <row r="58" spans="1:34">
      <c r="G58" s="260"/>
      <c r="H58" s="260"/>
      <c r="I58" s="260"/>
      <c r="J58" s="260"/>
      <c r="K58" s="261"/>
      <c r="L58" s="79"/>
      <c r="P58" s="81"/>
      <c r="S58" s="262"/>
      <c r="T58" s="263" t="s">
        <v>222</v>
      </c>
      <c r="Z58" s="264"/>
      <c r="AA58" s="264"/>
      <c r="AB58" s="67"/>
      <c r="AC58" s="259">
        <f ca="1">SUM(AC56:AC57)</f>
        <v>1914059.7359198178</v>
      </c>
      <c r="AD58" s="259">
        <f>SUM(AD56:AD57)</f>
        <v>1263071.0552951745</v>
      </c>
      <c r="AE58" s="259">
        <f>SUM(AE56:AE57)</f>
        <v>1067193.7078835566</v>
      </c>
      <c r="AF58" s="72">
        <f>SUM(AF56:AF57)</f>
        <v>1063943.7599999998</v>
      </c>
    </row>
    <row r="59" spans="1:34">
      <c r="P59" s="81"/>
      <c r="X59" s="256"/>
      <c r="AB59" s="67"/>
      <c r="AF59" s="72"/>
    </row>
    <row r="60" spans="1:34">
      <c r="P60" s="81"/>
      <c r="AB60" s="67"/>
      <c r="AC60" s="72">
        <f ca="1">AC56*0.94</f>
        <v>940277.86274380761</v>
      </c>
      <c r="AD60" s="72"/>
      <c r="AE60" s="261">
        <v>1067193.7078835571</v>
      </c>
      <c r="AF60" s="72" t="s">
        <v>223</v>
      </c>
    </row>
    <row r="61" spans="1:34">
      <c r="P61" s="81"/>
      <c r="AB61" s="67"/>
      <c r="AC61" s="72">
        <f ca="1">AC57</f>
        <v>913764.13725619263</v>
      </c>
      <c r="AD61" s="72"/>
      <c r="AE61" s="67"/>
    </row>
    <row r="62" spans="1:34">
      <c r="P62" s="81"/>
      <c r="AB62" s="266" t="s">
        <v>148</v>
      </c>
      <c r="AC62" s="72">
        <f ca="1">AC60+AC61</f>
        <v>1854042.0000000002</v>
      </c>
      <c r="AF62" s="72"/>
    </row>
    <row r="63" spans="1:34">
      <c r="P63" s="81"/>
      <c r="AB63" s="67"/>
      <c r="AE63" s="67"/>
      <c r="AF63" s="72"/>
    </row>
    <row r="64" spans="1:34">
      <c r="P64" s="81"/>
      <c r="AB64" s="266" t="s">
        <v>224</v>
      </c>
      <c r="AC64" s="79">
        <f ca="1">AD6</f>
        <v>1854042</v>
      </c>
      <c r="AE64" s="72">
        <f>AE58</f>
        <v>1067193.7078835566</v>
      </c>
      <c r="AF64" s="72"/>
    </row>
    <row r="65" spans="16:32">
      <c r="P65" s="81"/>
      <c r="AB65" s="67"/>
      <c r="AC65" s="79">
        <f ca="1">AC64-AC62</f>
        <v>0</v>
      </c>
      <c r="AE65" s="72">
        <f>AE64-AE60</f>
        <v>0</v>
      </c>
      <c r="AF65" s="72"/>
    </row>
    <row r="66" spans="16:32">
      <c r="AC66" s="72"/>
      <c r="AD66" s="72"/>
      <c r="AF66" s="72"/>
    </row>
    <row r="67" spans="16:32">
      <c r="AC67" s="72"/>
      <c r="AD67" s="72"/>
      <c r="AF67" s="72"/>
    </row>
    <row r="68" spans="16:32">
      <c r="AC68" s="72"/>
      <c r="AD68" s="72"/>
      <c r="AF68" s="72"/>
    </row>
    <row r="69" spans="16:32">
      <c r="AC69" s="72"/>
      <c r="AD69" s="72"/>
      <c r="AF69" s="72"/>
    </row>
    <row r="70" spans="16:32">
      <c r="AC70" s="72"/>
      <c r="AD70" s="72"/>
      <c r="AF70" s="72"/>
    </row>
    <row r="71" spans="16:32">
      <c r="AC71" s="72"/>
      <c r="AD71" s="72"/>
      <c r="AF71" s="72"/>
    </row>
    <row r="72" spans="16:32">
      <c r="AC72" s="72"/>
      <c r="AD72" s="72"/>
      <c r="AF72" s="72"/>
    </row>
    <row r="73" spans="16:32">
      <c r="AC73" s="72"/>
      <c r="AD73" s="72"/>
      <c r="AF73" s="72"/>
    </row>
    <row r="74" spans="16:32">
      <c r="AC74" s="72"/>
      <c r="AD74" s="72"/>
      <c r="AF74" s="72"/>
    </row>
    <row r="75" spans="16:32">
      <c r="AC75" s="72"/>
      <c r="AD75" s="72"/>
      <c r="AF75" s="72"/>
    </row>
    <row r="76" spans="16:32">
      <c r="AC76" s="72"/>
      <c r="AD76" s="72"/>
      <c r="AF76" s="72"/>
    </row>
    <row r="77" spans="16:32">
      <c r="AC77" s="72"/>
      <c r="AD77" s="72"/>
      <c r="AF77" s="72"/>
    </row>
    <row r="78" spans="16:32">
      <c r="AC78" s="72"/>
      <c r="AD78" s="72"/>
      <c r="AF78" s="72"/>
    </row>
    <row r="79" spans="16:32">
      <c r="AC79" s="72"/>
      <c r="AD79" s="72"/>
      <c r="AF79" s="72"/>
    </row>
    <row r="80" spans="16:32">
      <c r="AC80" s="72"/>
      <c r="AD80" s="72"/>
      <c r="AF80" s="72"/>
    </row>
    <row r="81" spans="29:32">
      <c r="AC81" s="72"/>
      <c r="AD81" s="72"/>
      <c r="AF81" s="72"/>
    </row>
    <row r="82" spans="29:32">
      <c r="AC82" s="72"/>
      <c r="AD82" s="72"/>
      <c r="AF82" s="72"/>
    </row>
    <row r="83" spans="29:32">
      <c r="AC83" s="72"/>
      <c r="AD83" s="72"/>
      <c r="AF83" s="72"/>
    </row>
    <row r="84" spans="29:32">
      <c r="AC84" s="72"/>
      <c r="AD84" s="72"/>
      <c r="AF84" s="72"/>
    </row>
    <row r="85" spans="29:32">
      <c r="AC85" s="72"/>
      <c r="AD85" s="72"/>
      <c r="AF85" s="72"/>
    </row>
    <row r="86" spans="29:32">
      <c r="AC86" s="72"/>
      <c r="AD86" s="72"/>
      <c r="AF86" s="72"/>
    </row>
    <row r="87" spans="29:32">
      <c r="AC87" s="72"/>
      <c r="AD87" s="72"/>
      <c r="AF87" s="72"/>
    </row>
    <row r="88" spans="29:32">
      <c r="AC88" s="72"/>
      <c r="AD88" s="72"/>
      <c r="AF88" s="72"/>
    </row>
    <row r="89" spans="29:32">
      <c r="AC89" s="72"/>
      <c r="AD89" s="72"/>
      <c r="AF89" s="72"/>
    </row>
    <row r="90" spans="29:32">
      <c r="AC90" s="72"/>
      <c r="AD90" s="72"/>
      <c r="AF90" s="72"/>
    </row>
    <row r="91" spans="29:32">
      <c r="AC91" s="72"/>
      <c r="AD91" s="72"/>
      <c r="AF91" s="72"/>
    </row>
    <row r="92" spans="29:32">
      <c r="AC92" s="72"/>
      <c r="AD92" s="72"/>
      <c r="AF92" s="72"/>
    </row>
    <row r="93" spans="29:32">
      <c r="AC93" s="72"/>
      <c r="AD93" s="72"/>
      <c r="AF93" s="72"/>
    </row>
    <row r="94" spans="29:32">
      <c r="AC94" s="72"/>
      <c r="AD94" s="72"/>
      <c r="AF94" s="72"/>
    </row>
    <row r="95" spans="29:32">
      <c r="AC95" s="72"/>
      <c r="AD95" s="72"/>
      <c r="AF95" s="72"/>
    </row>
    <row r="96" spans="29:32">
      <c r="AC96" s="72"/>
      <c r="AD96" s="72"/>
      <c r="AF96" s="72"/>
    </row>
    <row r="97" spans="29:32">
      <c r="AC97" s="72"/>
      <c r="AD97" s="72"/>
      <c r="AF97" s="72"/>
    </row>
    <row r="98" spans="29:32">
      <c r="AC98" s="72"/>
      <c r="AD98" s="72"/>
      <c r="AF98" s="72"/>
    </row>
    <row r="99" spans="29:32">
      <c r="AC99" s="72"/>
      <c r="AD99" s="72"/>
      <c r="AF99" s="72"/>
    </row>
    <row r="100" spans="29:32">
      <c r="AC100" s="72"/>
      <c r="AD100" s="72"/>
      <c r="AF100" s="72"/>
    </row>
    <row r="101" spans="29:32">
      <c r="AC101" s="72"/>
      <c r="AD101" s="72"/>
      <c r="AF101" s="72"/>
    </row>
    <row r="102" spans="29:32">
      <c r="AC102" s="72"/>
      <c r="AD102" s="72"/>
      <c r="AF102" s="72"/>
    </row>
    <row r="103" spans="29:32">
      <c r="AC103" s="72"/>
      <c r="AD103" s="72"/>
      <c r="AF103" s="72"/>
    </row>
    <row r="104" spans="29:32">
      <c r="AC104" s="72"/>
      <c r="AD104" s="72"/>
      <c r="AF104" s="72"/>
    </row>
    <row r="105" spans="29:32">
      <c r="AC105" s="72"/>
      <c r="AD105" s="72"/>
      <c r="AF105" s="72"/>
    </row>
    <row r="106" spans="29:32">
      <c r="AC106" s="72"/>
      <c r="AD106" s="72"/>
      <c r="AF106" s="72"/>
    </row>
    <row r="107" spans="29:32">
      <c r="AC107" s="72"/>
      <c r="AD107" s="72"/>
      <c r="AF107" s="72"/>
    </row>
    <row r="108" spans="29:32">
      <c r="AC108" s="72"/>
      <c r="AD108" s="72"/>
      <c r="AF108" s="72"/>
    </row>
    <row r="109" spans="29:32">
      <c r="AC109" s="72"/>
      <c r="AD109" s="72"/>
      <c r="AF109" s="72"/>
    </row>
    <row r="110" spans="29:32">
      <c r="AC110" s="72"/>
      <c r="AD110" s="72"/>
      <c r="AF110" s="72"/>
    </row>
    <row r="111" spans="29:32">
      <c r="AC111" s="72"/>
      <c r="AD111" s="72"/>
      <c r="AF111" s="72"/>
    </row>
    <row r="112" spans="29:32">
      <c r="AC112" s="72"/>
      <c r="AD112" s="72"/>
      <c r="AF112" s="72"/>
    </row>
    <row r="113" spans="29:32">
      <c r="AC113" s="72"/>
      <c r="AD113" s="72"/>
      <c r="AF113" s="72"/>
    </row>
    <row r="114" spans="29:32">
      <c r="AC114" s="72"/>
      <c r="AD114" s="72"/>
    </row>
    <row r="115" spans="29:32">
      <c r="AC115" s="267" t="s">
        <v>225</v>
      </c>
      <c r="AD115" s="228" t="e">
        <f>#REF!+#REF!</f>
        <v>#REF!</v>
      </c>
      <c r="AE115" s="68" t="e">
        <f>#REF!</f>
        <v>#REF!</v>
      </c>
      <c r="AF115" s="268" t="s">
        <v>226</v>
      </c>
    </row>
    <row r="116" spans="29:32">
      <c r="AC116" s="267" t="s">
        <v>227</v>
      </c>
      <c r="AD116" s="228">
        <v>73981.998633206778</v>
      </c>
      <c r="AE116" s="68">
        <v>0</v>
      </c>
      <c r="AF116" s="268" t="s">
        <v>228</v>
      </c>
    </row>
    <row r="117" spans="29:32">
      <c r="AC117" s="267" t="s">
        <v>229</v>
      </c>
      <c r="AD117" s="228">
        <v>500</v>
      </c>
      <c r="AE117" s="68">
        <v>100</v>
      </c>
      <c r="AF117" s="268" t="s">
        <v>230</v>
      </c>
    </row>
    <row r="118" spans="29:32">
      <c r="AC118" s="267" t="s">
        <v>231</v>
      </c>
      <c r="AD118" s="269">
        <v>1413187.5</v>
      </c>
      <c r="AE118" s="269">
        <v>1223187.5</v>
      </c>
      <c r="AF118" s="270" t="s">
        <v>232</v>
      </c>
    </row>
    <row r="119" spans="29:32">
      <c r="AC119" s="270"/>
      <c r="AD119" s="228" t="e">
        <f>AD115-AD116+AD117-AD118</f>
        <v>#REF!</v>
      </c>
      <c r="AE119" s="228" t="e">
        <f>AE115-AE116+AE117-AE118</f>
        <v>#REF!</v>
      </c>
      <c r="AF119" s="270"/>
    </row>
  </sheetData>
  <sheetProtection selectLockedCells="1" selectUnlockedCells="1"/>
  <mergeCells count="8">
    <mergeCell ref="A1:O1"/>
    <mergeCell ref="A2:R2"/>
    <mergeCell ref="A3:R3"/>
    <mergeCell ref="A4:R4"/>
    <mergeCell ref="E7:G7"/>
    <mergeCell ref="H7:J7"/>
    <mergeCell ref="K7:M7"/>
    <mergeCell ref="N7:P7"/>
  </mergeCells>
  <printOptions horizontalCentered="1"/>
  <pageMargins left="0.5" right="0.5" top="1.4444444444444446" bottom="0.88611111111111107" header="0.4" footer="0.35"/>
  <pageSetup scale="60" firstPageNumber="0" orientation="landscape" horizontalDpi="300" verticalDpi="300"/>
  <headerFooter alignWithMargins="0">
    <oddHeader>&amp;L&amp;"Arial black,Bold"&amp;16HARMONY
Community Development District</oddHeader>
    <oddFooter>&amp;L&amp;11Annual Operating and Debt Service Budget
Fiscal Year 2017</oddFooter>
  </headerFooter>
  <rowBreaks count="1" manualBreakCount="1">
    <brk id="35" max="16383" man="1"/>
  </rowBreaks>
  <colBreaks count="1" manualBreakCount="1">
    <brk id="18" max="1048575" man="1"/>
  </colBreaks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I311"/>
  <sheetViews>
    <sheetView tabSelected="1" topLeftCell="R25" zoomScale="95" zoomScaleNormal="95" zoomScaleSheetLayoutView="95" workbookViewId="0">
      <pane ySplit="9" topLeftCell="A34" activePane="bottomLeft" state="frozen"/>
      <selection activeCell="A25" sqref="A25"/>
      <selection pane="bottomLeft" activeCell="AJ312" sqref="AJ312"/>
    </sheetView>
  </sheetViews>
  <sheetFormatPr defaultRowHeight="12.75"/>
  <cols>
    <col min="1" max="4" width="0" style="271" hidden="1" customWidth="1"/>
    <col min="5" max="8" width="0" style="272" hidden="1" customWidth="1"/>
    <col min="9" max="10" width="0" style="271" hidden="1" customWidth="1"/>
    <col min="11" max="11" width="0" style="273" hidden="1" customWidth="1"/>
    <col min="12" max="13" width="0" style="274" hidden="1" customWidth="1"/>
    <col min="14" max="17" width="0" style="271" hidden="1" customWidth="1"/>
    <col min="18" max="18" width="35.7109375" style="271" customWidth="1"/>
    <col min="19" max="20" width="0" style="271" hidden="1" customWidth="1"/>
    <col min="21" max="21" width="0.42578125" style="271" customWidth="1"/>
    <col min="22" max="27" width="0" style="271" hidden="1" customWidth="1"/>
    <col min="28" max="28" width="11.7109375" style="271" customWidth="1"/>
    <col min="29" max="29" width="0.42578125" style="271" customWidth="1"/>
    <col min="30" max="31" width="0" style="271" hidden="1" customWidth="1"/>
    <col min="32" max="32" width="11.7109375" style="271" customWidth="1"/>
    <col min="33" max="33" width="0.42578125" style="271" customWidth="1"/>
    <col min="34" max="34" width="11.7109375" style="271" customWidth="1"/>
    <col min="35" max="35" width="0.42578125" style="271" customWidth="1"/>
    <col min="36" max="36" width="11.7109375" style="271" customWidth="1"/>
    <col min="37" max="37" width="0.42578125" style="271" customWidth="1"/>
    <col min="38" max="38" width="11.7109375" style="271" customWidth="1"/>
    <col min="39" max="39" width="0.42578125" style="271" customWidth="1"/>
    <col min="40" max="41" width="0" style="271" hidden="1" customWidth="1"/>
    <col min="42" max="42" width="11.7109375" style="271" customWidth="1"/>
    <col min="43" max="43" width="0" style="271" hidden="1" customWidth="1"/>
    <col min="44" max="44" width="0.85546875" style="271" customWidth="1"/>
    <col min="45" max="45" width="65.85546875" style="271" customWidth="1"/>
    <col min="46" max="46" width="9.140625" style="271"/>
    <col min="47" max="58" width="0" style="271" hidden="1" customWidth="1"/>
    <col min="59" max="16384" width="9.140625" style="271"/>
  </cols>
  <sheetData>
    <row r="1" spans="1:58" s="275" customFormat="1" hidden="1">
      <c r="A1" s="275" t="s">
        <v>233</v>
      </c>
      <c r="B1" s="276" t="s">
        <v>53</v>
      </c>
      <c r="C1" s="275" t="s">
        <v>31</v>
      </c>
      <c r="D1" s="275" t="s">
        <v>31</v>
      </c>
      <c r="E1" s="275" t="s">
        <v>31</v>
      </c>
      <c r="F1" s="275" t="s">
        <v>31</v>
      </c>
      <c r="G1" s="277" t="s">
        <v>234</v>
      </c>
      <c r="H1" s="275" t="s">
        <v>31</v>
      </c>
      <c r="I1" s="275" t="s">
        <v>31</v>
      </c>
      <c r="J1" s="275" t="s">
        <v>31</v>
      </c>
      <c r="K1" s="278" t="s">
        <v>31</v>
      </c>
      <c r="L1" s="275" t="s">
        <v>235</v>
      </c>
      <c r="M1" s="275" t="s">
        <v>235</v>
      </c>
      <c r="N1" s="275" t="s">
        <v>235</v>
      </c>
      <c r="O1" s="275" t="s">
        <v>235</v>
      </c>
      <c r="P1" s="275" t="str">
        <f>IF($F$9="no","Hide","Show")</f>
        <v>Hide</v>
      </c>
      <c r="Q1" s="275" t="str">
        <f>P1</f>
        <v>Hide</v>
      </c>
      <c r="R1" s="275" t="s">
        <v>62</v>
      </c>
      <c r="S1" s="275" t="s">
        <v>31</v>
      </c>
      <c r="T1" s="275" t="s">
        <v>31</v>
      </c>
      <c r="V1" s="275" t="str">
        <f>IF($F$7=4,"Show","Hide")</f>
        <v>Hide</v>
      </c>
      <c r="W1" s="275" t="str">
        <f>V1</f>
        <v>Hide</v>
      </c>
      <c r="X1" s="275" t="str">
        <f>IF($F$7&gt;=3,"Show","Hide")</f>
        <v>Hide</v>
      </c>
      <c r="Y1" s="275" t="str">
        <f>X1</f>
        <v>Hide</v>
      </c>
      <c r="Z1" s="275" t="str">
        <f>IF($F$7&gt;=2,"Show","Hide")</f>
        <v>Hide</v>
      </c>
      <c r="AA1" s="275" t="str">
        <f>Z1</f>
        <v>Hide</v>
      </c>
      <c r="AB1" s="275" t="str">
        <f>IF($F$7&gt;=1,"Show","Hide")</f>
        <v>Show</v>
      </c>
      <c r="AC1" s="275" t="str">
        <f>AB1</f>
        <v>Show</v>
      </c>
      <c r="AD1" s="275" t="str">
        <f>IF($F$8&gt;=2,"Show","Hide")</f>
        <v>Hide</v>
      </c>
      <c r="AE1" s="275" t="str">
        <f>AD1</f>
        <v>Hide</v>
      </c>
      <c r="AF1" s="275" t="str">
        <f>IF($F$8&gt;=1,"Show","Hide")</f>
        <v>Show</v>
      </c>
      <c r="AG1" s="275" t="str">
        <f>AF1</f>
        <v>Show</v>
      </c>
      <c r="AH1" s="275" t="str">
        <f>IF($F$9="no","Show","hide")</f>
        <v>Show</v>
      </c>
      <c r="AI1" s="275" t="str">
        <f>AH1</f>
        <v>Show</v>
      </c>
      <c r="AJ1" s="279" t="str">
        <f>"Data+"&amp;AH1</f>
        <v>Data+Show</v>
      </c>
      <c r="AK1" s="279" t="str">
        <f>AH1</f>
        <v>Show</v>
      </c>
      <c r="AL1" s="275" t="s">
        <v>62</v>
      </c>
      <c r="AM1" s="275" t="str">
        <f>AL1</f>
        <v>Show</v>
      </c>
      <c r="AN1" s="275" t="s">
        <v>31</v>
      </c>
      <c r="AO1" s="275" t="s">
        <v>31</v>
      </c>
      <c r="AP1" s="275" t="s">
        <v>236</v>
      </c>
      <c r="AQ1" s="275" t="s">
        <v>31</v>
      </c>
      <c r="AS1" s="280" t="s">
        <v>236</v>
      </c>
      <c r="AT1" s="275" t="s">
        <v>237</v>
      </c>
      <c r="AU1" s="275" t="s">
        <v>237</v>
      </c>
      <c r="AV1" s="275" t="s">
        <v>237</v>
      </c>
      <c r="AW1" s="275" t="s">
        <v>237</v>
      </c>
      <c r="AX1" s="275" t="s">
        <v>237</v>
      </c>
      <c r="AY1" s="275" t="s">
        <v>237</v>
      </c>
      <c r="AZ1" s="275" t="s">
        <v>237</v>
      </c>
      <c r="BA1" s="275" t="s">
        <v>237</v>
      </c>
      <c r="BB1" s="275" t="s">
        <v>237</v>
      </c>
      <c r="BC1" s="275" t="s">
        <v>237</v>
      </c>
      <c r="BD1" s="275" t="s">
        <v>237</v>
      </c>
      <c r="BE1" s="275" t="s">
        <v>237</v>
      </c>
      <c r="BF1" s="275" t="s">
        <v>237</v>
      </c>
    </row>
    <row r="2" spans="1:58" s="274" customFormat="1" hidden="1">
      <c r="A2" s="281"/>
      <c r="B2" s="274" t="str">
        <f ca="1">IF(AQ275=0,"hidesheet","Hide")</f>
        <v>Hide</v>
      </c>
      <c r="C2" s="282" t="s">
        <v>135</v>
      </c>
      <c r="D2" s="282"/>
      <c r="E2" s="272"/>
      <c r="F2" s="272"/>
      <c r="G2" s="272"/>
      <c r="H2" s="283"/>
      <c r="I2" s="275"/>
      <c r="J2" s="275"/>
      <c r="K2" s="273"/>
      <c r="T2" s="274" t="str">
        <f>TEXT("..C"&amp;$F$5,"MM/DD/YYYY")</f>
        <v>..C42536</v>
      </c>
      <c r="V2" s="274" t="str">
        <f>I9</f>
        <v>..C9/30/2012</v>
      </c>
      <c r="X2" s="274" t="str">
        <f>I8</f>
        <v>..C9/30/2013</v>
      </c>
      <c r="Z2" s="274" t="str">
        <f>I7</f>
        <v>..C9/30/2014</v>
      </c>
      <c r="AB2" s="274" t="str">
        <f>I6</f>
        <v>..C9/30/2015</v>
      </c>
      <c r="AD2" s="274" t="str">
        <f>AB2</f>
        <v>..C9/30/2015</v>
      </c>
      <c r="AF2" s="274" t="str">
        <f>I5</f>
        <v>..C9/30/2016</v>
      </c>
      <c r="AH2" s="274" t="str">
        <f>TEXT("..C"&amp;$F$5,"MM/DD/YYYY")</f>
        <v>..C42536</v>
      </c>
      <c r="AJ2" s="274" t="str">
        <f>AH2</f>
        <v>..C42536</v>
      </c>
      <c r="AP2" s="275"/>
      <c r="AS2" s="271"/>
    </row>
    <row r="3" spans="1:58" s="274" customFormat="1" hidden="1">
      <c r="B3" s="274" t="s">
        <v>31</v>
      </c>
      <c r="C3" s="282" t="s">
        <v>136</v>
      </c>
      <c r="D3" s="282"/>
      <c r="E3" s="272"/>
      <c r="F3" s="272"/>
      <c r="G3" s="272"/>
      <c r="H3" s="284" t="s">
        <v>238</v>
      </c>
      <c r="I3" s="285" t="s">
        <v>239</v>
      </c>
      <c r="J3" s="285" t="s">
        <v>240</v>
      </c>
      <c r="K3" s="273"/>
      <c r="T3" s="274" t="str">
        <f>$J$4</f>
        <v>10/1/2015..42536</v>
      </c>
      <c r="V3" s="274" t="s">
        <v>241</v>
      </c>
      <c r="X3" s="274" t="s">
        <v>242</v>
      </c>
      <c r="Z3" s="274" t="s">
        <v>243</v>
      </c>
      <c r="AB3" s="274" t="s">
        <v>244</v>
      </c>
      <c r="AD3" s="274" t="s">
        <v>244</v>
      </c>
      <c r="AF3" s="274" t="s">
        <v>245</v>
      </c>
      <c r="AH3" s="274" t="str">
        <f>$J$4</f>
        <v>10/1/2015..42536</v>
      </c>
      <c r="AJ3" s="274" t="s">
        <v>246</v>
      </c>
      <c r="AN3" s="275" t="s">
        <v>247</v>
      </c>
      <c r="AO3" s="275"/>
      <c r="AP3" s="275" t="s">
        <v>247</v>
      </c>
      <c r="AS3" s="271"/>
    </row>
    <row r="4" spans="1:58" s="274" customFormat="1" ht="15" hidden="1" customHeight="1">
      <c r="B4" s="274" t="s">
        <v>31</v>
      </c>
      <c r="E4" s="272" t="s">
        <v>248</v>
      </c>
      <c r="F4" s="286" t="s">
        <v>249</v>
      </c>
      <c r="G4" s="287" t="s">
        <v>250</v>
      </c>
      <c r="H4" s="283" t="str">
        <f>F4</f>
        <v>2017</v>
      </c>
      <c r="I4" s="274" t="str">
        <f t="shared" ref="I4:I10" si="0">"..C9/30/"&amp;H4</f>
        <v>..C9/30/2017</v>
      </c>
      <c r="J4" s="274" t="str">
        <f>"10/1/"&amp;H6&amp;".."&amp;F5</f>
        <v>10/1/2015..42536</v>
      </c>
      <c r="K4" s="273"/>
      <c r="T4" s="275" t="s">
        <v>251</v>
      </c>
      <c r="V4" s="275" t="s">
        <v>251</v>
      </c>
      <c r="W4" s="288"/>
      <c r="X4" s="275" t="s">
        <v>251</v>
      </c>
      <c r="Y4" s="288"/>
      <c r="Z4" s="275" t="s">
        <v>251</v>
      </c>
      <c r="AA4" s="288"/>
      <c r="AB4" s="275" t="s">
        <v>251</v>
      </c>
      <c r="AC4" s="288"/>
      <c r="AD4" s="275" t="s">
        <v>252</v>
      </c>
      <c r="AE4" s="288"/>
      <c r="AF4" s="275" t="s">
        <v>252</v>
      </c>
      <c r="AG4" s="275"/>
      <c r="AH4" s="275" t="s">
        <v>251</v>
      </c>
      <c r="AI4" s="275"/>
      <c r="AJ4" s="275" t="s">
        <v>252</v>
      </c>
      <c r="AK4" s="275"/>
      <c r="AL4" s="275" t="s">
        <v>252</v>
      </c>
      <c r="AM4" s="275"/>
      <c r="AN4" s="275" t="s">
        <v>252</v>
      </c>
      <c r="AO4" s="275"/>
      <c r="AP4" s="275" t="s">
        <v>252</v>
      </c>
      <c r="AQ4" s="275"/>
      <c r="AR4" s="288"/>
      <c r="AS4" s="289"/>
    </row>
    <row r="5" spans="1:58" s="274" customFormat="1" ht="15" hidden="1" customHeight="1">
      <c r="B5" s="274" t="s">
        <v>31</v>
      </c>
      <c r="C5" s="274" t="s">
        <v>253</v>
      </c>
      <c r="D5" s="274" t="s">
        <v>74</v>
      </c>
      <c r="E5" s="272" t="s">
        <v>87</v>
      </c>
      <c r="F5" s="290">
        <f>VALUE(TEXT(G5,"yyyy")&amp;"/"&amp;TEXT(G5,"mm")&amp;"/15")</f>
        <v>42536</v>
      </c>
      <c r="G5" s="291">
        <v>42536</v>
      </c>
      <c r="H5" s="283">
        <f t="shared" ref="H5:H10" si="1">H4-1</f>
        <v>2016</v>
      </c>
      <c r="I5" s="274" t="str">
        <f t="shared" si="0"/>
        <v>..C9/30/2016</v>
      </c>
      <c r="J5" s="274" t="s">
        <v>254</v>
      </c>
      <c r="K5" s="273"/>
      <c r="O5" s="288"/>
      <c r="P5" s="288"/>
      <c r="Q5" s="288"/>
      <c r="R5" s="288"/>
      <c r="S5" s="288"/>
      <c r="T5" s="275" t="str">
        <f>AF5</f>
        <v>..C9/30/2015</v>
      </c>
      <c r="U5" s="288"/>
      <c r="V5" s="275" t="str">
        <f>I10</f>
        <v>..C9/30/2011</v>
      </c>
      <c r="W5" s="275"/>
      <c r="X5" s="275" t="str">
        <f>V2</f>
        <v>..C9/30/2012</v>
      </c>
      <c r="Y5" s="275"/>
      <c r="Z5" s="275" t="str">
        <f>X2</f>
        <v>..C9/30/2013</v>
      </c>
      <c r="AA5" s="275"/>
      <c r="AB5" s="275" t="str">
        <f>Z2</f>
        <v>..C9/30/2014</v>
      </c>
      <c r="AC5" s="275"/>
      <c r="AD5" s="275" t="str">
        <f>AB5</f>
        <v>..C9/30/2014</v>
      </c>
      <c r="AE5" s="275"/>
      <c r="AF5" s="275" t="str">
        <f>AD2</f>
        <v>..C9/30/2015</v>
      </c>
      <c r="AG5" s="292"/>
      <c r="AH5" s="275" t="str">
        <f>AF5</f>
        <v>..C9/30/2015</v>
      </c>
      <c r="AI5" s="288"/>
      <c r="AJ5" s="275" t="str">
        <f>I11</f>
        <v>..C9/30/2016</v>
      </c>
      <c r="AK5" s="288"/>
      <c r="AL5" s="288"/>
      <c r="AM5" s="288"/>
      <c r="AN5" s="275" t="str">
        <f>$I$4</f>
        <v>..C9/30/2017</v>
      </c>
      <c r="AO5" s="275"/>
      <c r="AP5" s="275" t="str">
        <f>$I$4</f>
        <v>..C9/30/2017</v>
      </c>
      <c r="AQ5" s="288"/>
      <c r="AR5" s="288"/>
      <c r="AS5" s="289"/>
    </row>
    <row r="6" spans="1:58" s="274" customFormat="1" hidden="1">
      <c r="B6" s="274" t="s">
        <v>31</v>
      </c>
      <c r="C6" s="274" t="s">
        <v>255</v>
      </c>
      <c r="D6" s="274" t="s">
        <v>57</v>
      </c>
      <c r="E6" s="272" t="s">
        <v>256</v>
      </c>
      <c r="F6" s="286" t="s">
        <v>92</v>
      </c>
      <c r="G6" s="293">
        <f ca="1">TODAY()</f>
        <v>42551</v>
      </c>
      <c r="H6" s="283">
        <f t="shared" si="1"/>
        <v>2015</v>
      </c>
      <c r="I6" s="274" t="str">
        <f t="shared" si="0"/>
        <v>..C9/30/2015</v>
      </c>
      <c r="J6" s="274" t="s">
        <v>257</v>
      </c>
      <c r="K6" s="273"/>
      <c r="O6" s="288"/>
      <c r="P6" s="288"/>
      <c r="Q6" s="288"/>
      <c r="R6" s="288"/>
      <c r="S6" s="288"/>
      <c r="T6" s="288"/>
      <c r="U6" s="288"/>
      <c r="V6" s="275"/>
      <c r="X6" s="275"/>
      <c r="Z6" s="275"/>
      <c r="AB6" s="275"/>
      <c r="AD6" s="275" t="s">
        <v>99</v>
      </c>
      <c r="AF6" s="275" t="s">
        <v>99</v>
      </c>
      <c r="AH6" s="275"/>
      <c r="AJ6" s="275" t="s">
        <v>99</v>
      </c>
      <c r="AL6" s="275"/>
      <c r="AN6" s="275" t="s">
        <v>99</v>
      </c>
      <c r="AO6" s="275"/>
      <c r="AP6" s="275" t="s">
        <v>99</v>
      </c>
      <c r="AS6" s="271"/>
    </row>
    <row r="7" spans="1:58" s="274" customFormat="1" hidden="1">
      <c r="B7" s="274" t="s">
        <v>31</v>
      </c>
      <c r="C7" s="274" t="s">
        <v>65</v>
      </c>
      <c r="D7" s="274" t="s">
        <v>60</v>
      </c>
      <c r="E7" s="272" t="s">
        <v>258</v>
      </c>
      <c r="F7" s="294">
        <v>1</v>
      </c>
      <c r="G7" s="295" t="s">
        <v>259</v>
      </c>
      <c r="H7" s="283">
        <f t="shared" si="1"/>
        <v>2014</v>
      </c>
      <c r="I7" s="274" t="str">
        <f t="shared" si="0"/>
        <v>..C9/30/2014</v>
      </c>
      <c r="J7" s="274" t="s">
        <v>247</v>
      </c>
      <c r="K7" s="273"/>
      <c r="V7" s="275"/>
      <c r="X7" s="275"/>
      <c r="Z7" s="275"/>
      <c r="AB7" s="275"/>
      <c r="AD7" s="275" t="s">
        <v>260</v>
      </c>
      <c r="AF7" s="275" t="s">
        <v>260</v>
      </c>
      <c r="AH7" s="275"/>
      <c r="AN7" s="275" t="s">
        <v>260</v>
      </c>
      <c r="AO7" s="275"/>
      <c r="AP7" s="275" t="s">
        <v>260</v>
      </c>
      <c r="AS7" s="271"/>
    </row>
    <row r="8" spans="1:58" s="274" customFormat="1" hidden="1">
      <c r="B8" s="274" t="s">
        <v>31</v>
      </c>
      <c r="C8" s="274" t="s">
        <v>261</v>
      </c>
      <c r="D8" s="274" t="s">
        <v>99</v>
      </c>
      <c r="E8" s="272" t="s">
        <v>262</v>
      </c>
      <c r="F8" s="294">
        <v>1</v>
      </c>
      <c r="G8" s="283"/>
      <c r="H8" s="283">
        <f t="shared" si="1"/>
        <v>2013</v>
      </c>
      <c r="I8" s="274" t="str">
        <f t="shared" si="0"/>
        <v>..C9/30/2013</v>
      </c>
      <c r="K8" s="273"/>
      <c r="P8" s="296"/>
      <c r="Q8" s="296"/>
      <c r="V8" s="275"/>
      <c r="X8" s="275"/>
      <c r="Z8" s="275"/>
      <c r="AB8" s="275"/>
      <c r="AD8" s="275" t="str">
        <f>RIGHT(AD2,4)&amp;"BUDA"</f>
        <v>2015BUDA</v>
      </c>
      <c r="AF8" s="275" t="str">
        <f>RIGHT(AF2,4)&amp;"BUDA"</f>
        <v>2016BUDA</v>
      </c>
      <c r="AH8" s="275"/>
      <c r="AS8" s="271"/>
    </row>
    <row r="9" spans="1:58" s="274" customFormat="1" hidden="1">
      <c r="B9" s="274" t="s">
        <v>31</v>
      </c>
      <c r="C9" s="274" t="s">
        <v>263</v>
      </c>
      <c r="D9" s="274" t="s">
        <v>59</v>
      </c>
      <c r="E9" s="272" t="s">
        <v>264</v>
      </c>
      <c r="F9" s="286" t="s">
        <v>92</v>
      </c>
      <c r="G9" s="283"/>
      <c r="H9" s="283">
        <f t="shared" si="1"/>
        <v>2012</v>
      </c>
      <c r="I9" s="274" t="str">
        <f t="shared" si="0"/>
        <v>..C9/30/2012</v>
      </c>
      <c r="K9" s="273"/>
      <c r="P9" s="296"/>
      <c r="Q9" s="296"/>
      <c r="AS9" s="271"/>
    </row>
    <row r="10" spans="1:58" s="274" customFormat="1" hidden="1">
      <c r="B10" s="274" t="s">
        <v>31</v>
      </c>
      <c r="C10" s="34" t="s">
        <v>265</v>
      </c>
      <c r="D10" s="274" t="s">
        <v>135</v>
      </c>
      <c r="E10" s="272" t="s">
        <v>266</v>
      </c>
      <c r="F10" s="286" t="s">
        <v>92</v>
      </c>
      <c r="G10" s="283"/>
      <c r="H10" s="283">
        <f t="shared" si="1"/>
        <v>2011</v>
      </c>
      <c r="I10" s="274" t="str">
        <f t="shared" si="0"/>
        <v>..C9/30/2011</v>
      </c>
      <c r="K10" s="273"/>
      <c r="P10" s="296"/>
      <c r="Q10" s="296"/>
      <c r="AS10" s="271"/>
    </row>
    <row r="11" spans="1:58" s="274" customFormat="1" hidden="1">
      <c r="B11" s="274" t="s">
        <v>31</v>
      </c>
      <c r="C11" s="34" t="s">
        <v>267</v>
      </c>
      <c r="D11" s="274" t="s">
        <v>136</v>
      </c>
      <c r="E11" s="272" t="s">
        <v>268</v>
      </c>
      <c r="F11" s="286" t="s">
        <v>91</v>
      </c>
      <c r="G11" s="283"/>
      <c r="H11" s="283" t="str">
        <f>RIGHT(I11,4)</f>
        <v>2016</v>
      </c>
      <c r="I11" s="274" t="str">
        <f>"..C9/30/"&amp;IF(MONTH(F5)&lt;10,YEAR(F5),YEAR(F5)+1)</f>
        <v>..C9/30/2016</v>
      </c>
      <c r="K11" s="273"/>
      <c r="P11" s="296"/>
      <c r="Q11" s="296"/>
      <c r="AS11" s="271"/>
    </row>
    <row r="12" spans="1:58" s="274" customFormat="1" ht="13.5" hidden="1">
      <c r="B12" s="274" t="s">
        <v>31</v>
      </c>
      <c r="E12" s="272" t="s">
        <v>269</v>
      </c>
      <c r="F12" s="286" t="s">
        <v>99</v>
      </c>
      <c r="G12" s="283"/>
      <c r="H12" s="283"/>
      <c r="J12" s="297" t="s">
        <v>106</v>
      </c>
      <c r="K12" s="273"/>
      <c r="P12" s="296"/>
      <c r="Q12" s="296"/>
      <c r="AS12" s="271"/>
    </row>
    <row r="13" spans="1:58" s="274" customFormat="1" ht="13.5" hidden="1">
      <c r="B13" s="274" t="s">
        <v>31</v>
      </c>
      <c r="E13" s="272" t="s">
        <v>270</v>
      </c>
      <c r="F13" s="286" t="s">
        <v>91</v>
      </c>
      <c r="G13" s="283"/>
      <c r="H13" s="283"/>
      <c r="J13" s="298" t="s">
        <v>271</v>
      </c>
      <c r="K13" s="273"/>
      <c r="P13" s="296"/>
      <c r="Q13" s="296"/>
      <c r="AS13" s="271"/>
    </row>
    <row r="14" spans="1:58" s="274" customFormat="1" hidden="1">
      <c r="B14" s="274" t="s">
        <v>31</v>
      </c>
      <c r="E14" s="272" t="s">
        <v>97</v>
      </c>
      <c r="F14" s="286" t="s">
        <v>92</v>
      </c>
      <c r="G14" s="283"/>
      <c r="H14" s="283"/>
      <c r="K14" s="273"/>
      <c r="P14" s="296"/>
      <c r="Q14" s="296"/>
      <c r="AS14" s="271"/>
    </row>
    <row r="15" spans="1:58" s="274" customFormat="1" hidden="1">
      <c r="B15" s="274" t="s">
        <v>31</v>
      </c>
      <c r="E15" s="272" t="s">
        <v>272</v>
      </c>
      <c r="F15" s="286" t="s">
        <v>92</v>
      </c>
      <c r="G15" s="283"/>
      <c r="H15" s="283"/>
      <c r="I15" s="299">
        <f>VALUE(TEXT(G5,"yyyy")&amp;"/"&amp;TEXT(G5,"mm")&amp;"/15")</f>
        <v>42536</v>
      </c>
      <c r="K15" s="273"/>
      <c r="P15" s="296"/>
      <c r="Q15" s="296"/>
      <c r="AS15" s="271"/>
    </row>
    <row r="16" spans="1:58" s="274" customFormat="1" hidden="1">
      <c r="B16" s="274" t="s">
        <v>31</v>
      </c>
      <c r="E16" s="272" t="s">
        <v>102</v>
      </c>
      <c r="F16" s="286" t="s">
        <v>92</v>
      </c>
      <c r="G16" s="283"/>
      <c r="H16" s="283"/>
      <c r="I16" s="274" t="str">
        <f>TEXT(G5,"mm")</f>
        <v>06</v>
      </c>
      <c r="J16" s="274">
        <f t="shared" ref="J16:J18" si="2">VALUE(I16)</f>
        <v>6</v>
      </c>
      <c r="K16" s="273"/>
      <c r="P16" s="296"/>
      <c r="Q16" s="296"/>
      <c r="AS16" s="271"/>
    </row>
    <row r="17" spans="1:45" s="274" customFormat="1" hidden="1">
      <c r="B17" s="274" t="s">
        <v>31</v>
      </c>
      <c r="E17" s="272" t="s">
        <v>65</v>
      </c>
      <c r="F17" s="300" t="s">
        <v>75</v>
      </c>
      <c r="G17" s="272"/>
      <c r="H17" s="272"/>
      <c r="I17" s="274" t="str">
        <f>TEXT(G5,"yyyy")</f>
        <v>2016</v>
      </c>
      <c r="J17" s="274">
        <f t="shared" si="2"/>
        <v>2016</v>
      </c>
      <c r="K17" s="273"/>
      <c r="P17" s="296"/>
      <c r="Q17" s="296"/>
      <c r="AS17" s="271"/>
    </row>
    <row r="18" spans="1:45" s="274" customFormat="1" hidden="1">
      <c r="B18" s="274" t="s">
        <v>31</v>
      </c>
      <c r="E18" s="272"/>
      <c r="F18" s="272"/>
      <c r="G18" s="272"/>
      <c r="H18" s="272"/>
      <c r="I18" s="274" t="str">
        <f>I17&amp;"/"&amp;I16&amp;"/15"</f>
        <v>2016/06/15</v>
      </c>
      <c r="J18" s="299">
        <f t="shared" si="2"/>
        <v>42536</v>
      </c>
      <c r="K18" s="273"/>
      <c r="P18" s="296"/>
      <c r="Q18" s="296"/>
      <c r="AS18" s="271"/>
    </row>
    <row r="19" spans="1:45" s="274" customFormat="1" hidden="1">
      <c r="B19" s="274" t="s">
        <v>31</v>
      </c>
      <c r="E19" s="301" t="s">
        <v>273</v>
      </c>
      <c r="F19" s="272"/>
      <c r="G19" s="272"/>
      <c r="H19" s="302" t="s">
        <v>274</v>
      </c>
      <c r="I19" s="299" t="str">
        <f>I18</f>
        <v>2016/06/15</v>
      </c>
      <c r="J19" s="299">
        <f>J18</f>
        <v>42536</v>
      </c>
      <c r="K19" s="273"/>
      <c r="O19" s="296"/>
      <c r="P19" s="296"/>
      <c r="Q19" s="296"/>
      <c r="AS19" s="271"/>
    </row>
    <row r="20" spans="1:45" s="274" customFormat="1" hidden="1">
      <c r="B20" s="274" t="s">
        <v>31</v>
      </c>
      <c r="E20" s="272" t="s">
        <v>275</v>
      </c>
      <c r="F20" s="272"/>
      <c r="G20" s="272"/>
      <c r="H20" s="272" t="s">
        <v>105</v>
      </c>
      <c r="K20" s="273"/>
      <c r="O20" s="296"/>
      <c r="P20" s="296"/>
      <c r="Q20" s="296"/>
      <c r="AS20" s="271"/>
    </row>
    <row r="21" spans="1:45" s="274" customFormat="1" hidden="1">
      <c r="B21" s="274" t="s">
        <v>31</v>
      </c>
      <c r="E21" s="272" t="s">
        <v>276</v>
      </c>
      <c r="F21" s="272"/>
      <c r="G21" s="272"/>
      <c r="H21" s="272" t="s">
        <v>78</v>
      </c>
      <c r="K21" s="273"/>
      <c r="O21" s="296"/>
      <c r="P21" s="296"/>
      <c r="Q21" s="296"/>
      <c r="AS21" s="271"/>
    </row>
    <row r="22" spans="1:45" s="274" customFormat="1" hidden="1">
      <c r="B22" s="274" t="s">
        <v>31</v>
      </c>
      <c r="E22" s="272" t="s">
        <v>65</v>
      </c>
      <c r="F22" s="275" t="str">
        <f>IF(F17="",0,F17)</f>
        <v>001</v>
      </c>
      <c r="G22" s="272"/>
      <c r="H22" s="303" t="str">
        <f>IF(F12="*",H20,H21)</f>
        <v>General Fund</v>
      </c>
      <c r="K22" s="273"/>
      <c r="O22" s="296"/>
      <c r="P22" s="296"/>
      <c r="Q22" s="296"/>
      <c r="AS22" s="271"/>
    </row>
    <row r="23" spans="1:45" s="274" customFormat="1" hidden="1">
      <c r="B23" s="274" t="s">
        <v>31</v>
      </c>
      <c r="E23" s="272" t="s">
        <v>277</v>
      </c>
      <c r="F23" s="272"/>
      <c r="G23" s="272"/>
      <c r="H23" s="272"/>
      <c r="K23" s="273"/>
      <c r="AS23" s="304"/>
    </row>
    <row r="24" spans="1:45" s="274" customFormat="1" hidden="1">
      <c r="A24" s="274" t="s">
        <v>235</v>
      </c>
      <c r="B24" s="274" t="s">
        <v>31</v>
      </c>
      <c r="E24" s="272" t="s">
        <v>278</v>
      </c>
      <c r="F24" s="272"/>
      <c r="G24" s="277" t="s">
        <v>279</v>
      </c>
      <c r="H24" s="272"/>
      <c r="K24" s="273"/>
      <c r="T24" s="275"/>
      <c r="AJ24" s="277" t="s">
        <v>280</v>
      </c>
      <c r="AP24" s="277" t="s">
        <v>281</v>
      </c>
      <c r="AS24" s="277" t="s">
        <v>282</v>
      </c>
    </row>
    <row r="25" spans="1:45" s="274" customFormat="1" ht="15.75">
      <c r="B25" s="274" t="s">
        <v>62</v>
      </c>
      <c r="E25" s="272"/>
      <c r="F25" s="272"/>
      <c r="G25" s="277"/>
      <c r="H25" s="272"/>
      <c r="K25" s="273"/>
      <c r="O25" s="305" t="s">
        <v>283</v>
      </c>
      <c r="P25" s="306"/>
      <c r="Q25" s="307"/>
      <c r="R25" s="1418" t="str">
        <f>IF(ISERROR(IF(AND(VALUE($F$22)&gt;399,VALUE($F$22)&lt;500),$J$13,$J$12)),"",IF(AND(VALUE($F$22)&gt;399,VALUE($F$22)&lt;500),$J$13,$J$12))</f>
        <v>Summary of Revenues, Expenditures and Changes in Fund Balances</v>
      </c>
      <c r="S25" s="1418"/>
      <c r="T25" s="1418"/>
      <c r="U25" s="1418"/>
      <c r="V25" s="1418"/>
      <c r="W25" s="1418"/>
      <c r="X25" s="1418"/>
      <c r="Y25" s="1418"/>
      <c r="Z25" s="1418"/>
      <c r="AA25" s="1418"/>
      <c r="AB25" s="1418"/>
      <c r="AC25" s="1418"/>
      <c r="AD25" s="1418"/>
      <c r="AE25" s="1418"/>
      <c r="AF25" s="1418"/>
      <c r="AG25" s="1418"/>
      <c r="AH25" s="1418"/>
      <c r="AI25" s="1418"/>
      <c r="AJ25" s="1418"/>
      <c r="AK25" s="1418"/>
      <c r="AL25" s="1418"/>
      <c r="AM25" s="1418"/>
      <c r="AN25" s="1418"/>
      <c r="AO25" s="1418"/>
      <c r="AP25" s="1418"/>
      <c r="AQ25" s="306"/>
      <c r="AR25" s="306"/>
      <c r="AS25" s="308"/>
    </row>
    <row r="26" spans="1:45" s="274" customFormat="1" ht="15.75">
      <c r="E26" s="272"/>
      <c r="F26" s="272"/>
      <c r="G26" s="277"/>
      <c r="H26" s="272"/>
      <c r="K26" s="273"/>
      <c r="O26" s="305" t="s">
        <v>284</v>
      </c>
      <c r="P26" s="309"/>
      <c r="Q26" s="310"/>
      <c r="R26" s="1419" t="str">
        <f>H22</f>
        <v>General Fund</v>
      </c>
      <c r="S26" s="1419"/>
      <c r="T26" s="1419"/>
      <c r="U26" s="1419"/>
      <c r="V26" s="1419"/>
      <c r="W26" s="1419"/>
      <c r="X26" s="1419"/>
      <c r="Y26" s="1419"/>
      <c r="Z26" s="1419"/>
      <c r="AA26" s="1419"/>
      <c r="AB26" s="1419"/>
      <c r="AC26" s="1419"/>
      <c r="AD26" s="1419"/>
      <c r="AE26" s="1419"/>
      <c r="AF26" s="1419"/>
      <c r="AG26" s="1419"/>
      <c r="AH26" s="1419"/>
      <c r="AI26" s="1419"/>
      <c r="AJ26" s="1419"/>
      <c r="AK26" s="1419"/>
      <c r="AL26" s="1419"/>
      <c r="AM26" s="1419"/>
      <c r="AN26" s="1419"/>
      <c r="AO26" s="1419"/>
      <c r="AP26" s="1419"/>
      <c r="AQ26" s="306"/>
      <c r="AR26" s="306"/>
      <c r="AS26" s="308"/>
    </row>
    <row r="27" spans="1:45" s="274" customFormat="1" ht="15.75">
      <c r="B27" s="274" t="s">
        <v>62</v>
      </c>
      <c r="E27" s="272"/>
      <c r="F27" s="272"/>
      <c r="G27" s="277"/>
      <c r="H27" s="272"/>
      <c r="K27" s="273"/>
      <c r="O27" s="305" t="s">
        <v>285</v>
      </c>
      <c r="P27" s="309"/>
      <c r="Q27" s="310"/>
      <c r="R27" s="1419" t="str">
        <f>"Fiscal Year "&amp;F4&amp;" Proposed Budget"</f>
        <v>Fiscal Year 2017 Proposed Budget</v>
      </c>
      <c r="S27" s="1419"/>
      <c r="T27" s="1419"/>
      <c r="U27" s="1419"/>
      <c r="V27" s="1419"/>
      <c r="W27" s="1419"/>
      <c r="X27" s="1419"/>
      <c r="Y27" s="1419"/>
      <c r="Z27" s="1419"/>
      <c r="AA27" s="1419"/>
      <c r="AB27" s="1419"/>
      <c r="AC27" s="1419"/>
      <c r="AD27" s="1419"/>
      <c r="AE27" s="1419"/>
      <c r="AF27" s="1419"/>
      <c r="AG27" s="1419"/>
      <c r="AH27" s="1419"/>
      <c r="AI27" s="1419"/>
      <c r="AJ27" s="1419"/>
      <c r="AK27" s="1419"/>
      <c r="AL27" s="1419"/>
      <c r="AM27" s="1419"/>
      <c r="AN27" s="1419"/>
      <c r="AO27" s="1419"/>
      <c r="AP27" s="1419"/>
      <c r="AQ27" s="306"/>
      <c r="AR27" s="306"/>
      <c r="AS27" s="308"/>
    </row>
    <row r="28" spans="1:45" s="274" customFormat="1" ht="7.5" hidden="1" customHeight="1">
      <c r="E28" s="272"/>
      <c r="F28" s="272"/>
      <c r="G28" s="277"/>
      <c r="H28" s="272"/>
      <c r="K28" s="273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1"/>
      <c r="AN28" s="311"/>
      <c r="AO28" s="311"/>
      <c r="AP28" s="311"/>
      <c r="AQ28" s="306"/>
      <c r="AR28" s="306"/>
      <c r="AS28" s="308"/>
    </row>
    <row r="29" spans="1:45" s="274" customFormat="1" ht="20.100000000000001" hidden="1" customHeight="1">
      <c r="B29" s="274" t="str">
        <f>IF(F15="yes","show","Hide")</f>
        <v>Hide</v>
      </c>
      <c r="E29" s="272"/>
      <c r="F29" s="272"/>
      <c r="G29" s="277"/>
      <c r="H29" s="272"/>
      <c r="K29" s="273"/>
      <c r="P29" s="1420" t="s">
        <v>286</v>
      </c>
      <c r="Q29" s="1420"/>
      <c r="R29" s="1420"/>
      <c r="S29" s="1420"/>
      <c r="T29" s="1420"/>
      <c r="U29" s="1420"/>
      <c r="V29" s="1420"/>
      <c r="W29" s="1420"/>
      <c r="X29" s="1420"/>
      <c r="Y29" s="1420"/>
      <c r="Z29" s="1420"/>
      <c r="AA29" s="1420"/>
      <c r="AB29" s="1420"/>
      <c r="AC29" s="1420"/>
      <c r="AD29" s="1420"/>
      <c r="AE29" s="1420"/>
      <c r="AF29" s="1420"/>
      <c r="AG29" s="1420"/>
      <c r="AH29" s="1420"/>
      <c r="AI29" s="1420"/>
      <c r="AJ29" s="1420"/>
      <c r="AK29" s="1420"/>
      <c r="AL29" s="1420"/>
      <c r="AM29" s="1420"/>
      <c r="AN29" s="1420"/>
      <c r="AO29" s="1420"/>
      <c r="AP29" s="1420"/>
      <c r="AQ29" s="306"/>
      <c r="AR29" s="306"/>
      <c r="AS29" s="308"/>
    </row>
    <row r="30" spans="1:45" s="274" customFormat="1" ht="15" hidden="1" customHeight="1">
      <c r="B30" s="274" t="str">
        <f>B29</f>
        <v>Hide</v>
      </c>
      <c r="E30" s="272"/>
      <c r="F30" s="272"/>
      <c r="G30" s="272"/>
      <c r="H30" s="272"/>
      <c r="K30" s="273"/>
      <c r="P30" s="306"/>
      <c r="Q30" s="306"/>
      <c r="R30" s="306"/>
      <c r="S30" s="306"/>
      <c r="T30" s="31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13"/>
    </row>
    <row r="31" spans="1:45" ht="15" customHeight="1">
      <c r="B31" s="274" t="s">
        <v>62</v>
      </c>
      <c r="O31" s="314"/>
      <c r="P31" s="315"/>
      <c r="Q31" s="315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16" t="str">
        <f>IF(AD292=0,"ADOPTED","AMENDED")</f>
        <v>ADOPTED</v>
      </c>
      <c r="AE31" s="308"/>
      <c r="AF31" s="316" t="str">
        <f>IF(AF292=0,"ADOPTED","AMENDED")</f>
        <v>ADOPTED</v>
      </c>
      <c r="AG31" s="316"/>
      <c r="AH31" s="317" t="s">
        <v>287</v>
      </c>
      <c r="AI31" s="318"/>
      <c r="AJ31" s="317" t="s">
        <v>288</v>
      </c>
      <c r="AK31" s="318"/>
      <c r="AL31" s="317" t="s">
        <v>289</v>
      </c>
      <c r="AM31" s="319"/>
      <c r="AN31" s="316" t="s">
        <v>290</v>
      </c>
      <c r="AO31" s="316"/>
      <c r="AP31" s="316" t="s">
        <v>291</v>
      </c>
      <c r="AQ31" s="316"/>
      <c r="AR31" s="307"/>
      <c r="AS31" s="308"/>
    </row>
    <row r="32" spans="1:45" ht="15" customHeight="1">
      <c r="B32" s="274" t="s">
        <v>62</v>
      </c>
      <c r="O32" s="320"/>
      <c r="P32" s="316" t="s">
        <v>292</v>
      </c>
      <c r="Q32" s="307"/>
      <c r="R32" s="308"/>
      <c r="S32" s="308"/>
      <c r="T32" s="316" t="s">
        <v>287</v>
      </c>
      <c r="U32" s="308"/>
      <c r="V32" s="316" t="s">
        <v>287</v>
      </c>
      <c r="W32" s="316"/>
      <c r="X32" s="316" t="s">
        <v>287</v>
      </c>
      <c r="Y32" s="316"/>
      <c r="Z32" s="316" t="s">
        <v>287</v>
      </c>
      <c r="AA32" s="316"/>
      <c r="AB32" s="316" t="s">
        <v>287</v>
      </c>
      <c r="AC32" s="316"/>
      <c r="AD32" s="316" t="s">
        <v>293</v>
      </c>
      <c r="AE32" s="308"/>
      <c r="AF32" s="316" t="s">
        <v>293</v>
      </c>
      <c r="AG32" s="316"/>
      <c r="AH32" s="316" t="s">
        <v>294</v>
      </c>
      <c r="AI32" s="316"/>
      <c r="AJ32" s="321" t="s">
        <v>295</v>
      </c>
      <c r="AK32" s="316"/>
      <c r="AL32" s="316" t="s">
        <v>288</v>
      </c>
      <c r="AM32" s="322"/>
      <c r="AN32" s="316" t="s">
        <v>296</v>
      </c>
      <c r="AO32" s="316"/>
      <c r="AP32" s="316" t="s">
        <v>293</v>
      </c>
      <c r="AQ32" s="316"/>
      <c r="AR32" s="307"/>
      <c r="AS32" s="308"/>
    </row>
    <row r="33" spans="1:48" ht="15" customHeight="1">
      <c r="A33" s="274" t="s">
        <v>297</v>
      </c>
      <c r="B33" s="274" t="s">
        <v>62</v>
      </c>
      <c r="L33" s="323" t="s">
        <v>65</v>
      </c>
      <c r="M33" s="323" t="s">
        <v>298</v>
      </c>
      <c r="N33" s="324" t="s">
        <v>255</v>
      </c>
      <c r="O33" s="325" t="s">
        <v>253</v>
      </c>
      <c r="P33" s="317" t="s">
        <v>299</v>
      </c>
      <c r="Q33" s="307"/>
      <c r="R33" s="317" t="s">
        <v>300</v>
      </c>
      <c r="S33" s="326"/>
      <c r="T33" s="317" t="s">
        <v>301</v>
      </c>
      <c r="U33" s="326"/>
      <c r="V33" s="317" t="str">
        <f>"FY "&amp;RIGHT(V2,4)</f>
        <v>FY 2012</v>
      </c>
      <c r="W33" s="327"/>
      <c r="X33" s="317" t="str">
        <f>"FY "&amp;RIGHT(X2,4)</f>
        <v>FY 2013</v>
      </c>
      <c r="Y33" s="327"/>
      <c r="Z33" s="317" t="str">
        <f>"FY "&amp;RIGHT(Z2,4)</f>
        <v>FY 2014</v>
      </c>
      <c r="AA33" s="327"/>
      <c r="AB33" s="317" t="str">
        <f>"FY - "&amp;RIGHT(AB2,4)</f>
        <v>FY - 2015</v>
      </c>
      <c r="AC33" s="327"/>
      <c r="AD33" s="317" t="str">
        <f>"FY - "&amp;RIGHT(AD2,4)</f>
        <v>FY - 2015</v>
      </c>
      <c r="AE33" s="315"/>
      <c r="AF33" s="317" t="str">
        <f>"FY - "&amp;$H$5</f>
        <v>FY - 2016</v>
      </c>
      <c r="AG33" s="328"/>
      <c r="AH33" s="329" t="s">
        <v>302</v>
      </c>
      <c r="AI33" s="328"/>
      <c r="AJ33" s="329" t="s">
        <v>303</v>
      </c>
      <c r="AK33" s="328"/>
      <c r="AL33" s="317" t="s">
        <v>304</v>
      </c>
      <c r="AM33" s="328"/>
      <c r="AN33" s="317" t="str">
        <f>"FY - "&amp;$H$4</f>
        <v>FY - 2017</v>
      </c>
      <c r="AO33" s="326"/>
      <c r="AP33" s="317" t="str">
        <f>"FY - "&amp;$H$4</f>
        <v>FY - 2017</v>
      </c>
      <c r="AQ33" s="326"/>
      <c r="AR33" s="330"/>
      <c r="AS33" s="331" t="s">
        <v>305</v>
      </c>
    </row>
    <row r="34" spans="1:48" ht="9.9499999999999993" customHeight="1">
      <c r="B34" s="274" t="s">
        <v>62</v>
      </c>
      <c r="N34" s="332"/>
      <c r="O34" s="333"/>
      <c r="P34" s="326"/>
      <c r="Q34" s="307"/>
      <c r="R34" s="326"/>
      <c r="S34" s="326"/>
      <c r="T34" s="326"/>
      <c r="U34" s="326"/>
      <c r="V34" s="326"/>
      <c r="W34" s="327"/>
      <c r="X34" s="326"/>
      <c r="Y34" s="327"/>
      <c r="Z34" s="326"/>
      <c r="AA34" s="327"/>
      <c r="AB34" s="326"/>
      <c r="AC34" s="327"/>
      <c r="AD34" s="326"/>
      <c r="AE34" s="315"/>
      <c r="AF34" s="326"/>
      <c r="AG34" s="328"/>
      <c r="AH34" s="326"/>
      <c r="AI34" s="328"/>
      <c r="AJ34" s="326"/>
      <c r="AK34" s="328"/>
      <c r="AL34" s="326"/>
      <c r="AM34" s="328"/>
      <c r="AN34" s="326"/>
      <c r="AO34" s="326"/>
      <c r="AP34" s="326"/>
      <c r="AQ34" s="326"/>
      <c r="AR34" s="330"/>
      <c r="AS34" s="334"/>
    </row>
    <row r="35" spans="1:48" ht="20.100000000000001" hidden="1" customHeight="1">
      <c r="B35" s="274" t="s">
        <v>62</v>
      </c>
      <c r="N35" s="332"/>
      <c r="O35" s="335" t="s">
        <v>306</v>
      </c>
      <c r="P35" s="1421" t="s">
        <v>307</v>
      </c>
      <c r="Q35" s="1421"/>
      <c r="R35" s="1421"/>
      <c r="S35" s="1421"/>
      <c r="T35" s="1421"/>
      <c r="U35" s="1421"/>
      <c r="V35" s="1421"/>
      <c r="W35" s="1421"/>
      <c r="X35" s="1421"/>
      <c r="Y35" s="1421"/>
      <c r="Z35" s="1421"/>
      <c r="AA35" s="1421"/>
      <c r="AB35" s="1421"/>
      <c r="AC35" s="1421"/>
      <c r="AD35" s="1421"/>
      <c r="AE35" s="1421"/>
      <c r="AF35" s="1421"/>
      <c r="AG35" s="1421"/>
      <c r="AH35" s="1421"/>
      <c r="AI35" s="1421"/>
      <c r="AJ35" s="1421"/>
      <c r="AK35" s="1421"/>
      <c r="AL35" s="1421"/>
      <c r="AM35" s="1421"/>
      <c r="AN35" s="1421"/>
      <c r="AO35" s="1421"/>
      <c r="AP35" s="1421"/>
      <c r="AQ35" s="326"/>
      <c r="AR35" s="330"/>
      <c r="AS35" s="334"/>
    </row>
    <row r="36" spans="1:48" ht="15" customHeight="1">
      <c r="B36" s="274" t="s">
        <v>62</v>
      </c>
      <c r="O36" s="314"/>
      <c r="P36" s="315"/>
      <c r="Q36" s="307"/>
      <c r="R36" s="1422" t="str">
        <f>IF(R286=0,IF(AND($F$22&gt;"399",$F$22&lt;"500"),"OPERATING REVENUES","REVENUES"),"THIS REPORT HAS AN ERROR, THIS REPORT HAS AN ERROR, THIS REPORT HAS AN ERROR")</f>
        <v>REVENUES</v>
      </c>
      <c r="S36" s="1422"/>
      <c r="T36" s="1422"/>
      <c r="U36" s="1422"/>
      <c r="V36" s="1422"/>
      <c r="W36" s="1422"/>
      <c r="X36" s="1422"/>
      <c r="Y36" s="1422"/>
      <c r="Z36" s="1422"/>
      <c r="AA36" s="1422"/>
      <c r="AB36" s="1422"/>
      <c r="AC36" s="1422"/>
      <c r="AD36" s="1422"/>
      <c r="AE36" s="1422"/>
      <c r="AF36" s="1422"/>
      <c r="AG36" s="1422"/>
      <c r="AH36" s="1422"/>
      <c r="AI36" s="1422"/>
      <c r="AJ36" s="1422"/>
      <c r="AK36" s="1422"/>
      <c r="AL36" s="1422"/>
      <c r="AM36" s="1422"/>
      <c r="AN36" s="1422"/>
      <c r="AO36" s="1422"/>
      <c r="AP36" s="1422"/>
      <c r="AQ36" s="326"/>
      <c r="AR36" s="330"/>
      <c r="AS36" s="334"/>
    </row>
    <row r="37" spans="1:48" ht="0.95" customHeight="1">
      <c r="B37" s="274" t="s">
        <v>62</v>
      </c>
      <c r="O37" s="314"/>
      <c r="P37" s="315"/>
      <c r="Q37" s="307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26"/>
      <c r="AG37" s="328"/>
      <c r="AH37" s="326"/>
      <c r="AI37" s="328"/>
      <c r="AJ37" s="326"/>
      <c r="AK37" s="328"/>
      <c r="AL37" s="326"/>
      <c r="AM37" s="328"/>
      <c r="AN37" s="326"/>
      <c r="AO37" s="326"/>
      <c r="AP37" s="326"/>
      <c r="AQ37" s="326"/>
      <c r="AR37" s="330"/>
      <c r="AS37" s="334"/>
    </row>
    <row r="38" spans="1:48" ht="15.6" customHeight="1">
      <c r="A38" s="271" t="s">
        <v>236</v>
      </c>
      <c r="B38" s="271" t="s">
        <v>62</v>
      </c>
      <c r="E38" s="336" t="str">
        <f>IF(OR($D$7=0,$F$16="YES"),0,"300001..361000|361002..369999")</f>
        <v>300001..361000|361002..369999</v>
      </c>
      <c r="F38" s="300"/>
      <c r="K38" s="337">
        <v>361001</v>
      </c>
      <c r="L38" s="275" t="str">
        <f t="shared" ref="L38:L54" si="3">$F$22</f>
        <v>001</v>
      </c>
      <c r="M38" s="275" t="str">
        <f t="shared" ref="M38:M54" si="4">$J$7</f>
        <v>10/1/2016..9/30/2017</v>
      </c>
      <c r="N38" s="274" t="str">
        <f t="shared" ref="N38:N54" si="5">$D$6</f>
        <v>HARMONY CDD</v>
      </c>
      <c r="O38" s="275">
        <f>K38</f>
        <v>361001</v>
      </c>
      <c r="P38" s="312">
        <f t="shared" ref="P38:P54" si="6">K38</f>
        <v>361001</v>
      </c>
      <c r="Q38" s="307"/>
      <c r="R38" s="338" t="s">
        <v>308</v>
      </c>
      <c r="S38" s="315"/>
      <c r="T38" s="339">
        <v>414</v>
      </c>
      <c r="U38" s="315"/>
      <c r="V38" s="339">
        <v>0</v>
      </c>
      <c r="W38" s="338"/>
      <c r="X38" s="339">
        <v>0</v>
      </c>
      <c r="Y38" s="338"/>
      <c r="Z38" s="339">
        <v>0</v>
      </c>
      <c r="AA38" s="338"/>
      <c r="AB38" s="340">
        <v>2625</v>
      </c>
      <c r="AC38" s="341"/>
      <c r="AD38" s="340">
        <v>0</v>
      </c>
      <c r="AE38" s="342"/>
      <c r="AF38" s="340">
        <v>2500</v>
      </c>
      <c r="AG38" s="342"/>
      <c r="AH38" s="340">
        <v>1529</v>
      </c>
      <c r="AI38" s="342"/>
      <c r="AJ38" s="343">
        <f>+AF38-AH38</f>
        <v>971</v>
      </c>
      <c r="AK38" s="342"/>
      <c r="AL38" s="340">
        <f t="shared" ref="AL38:AL54" si="7">IF(ISERROR(AH38+AJ38),0,(AH38+AJ38))</f>
        <v>2500</v>
      </c>
      <c r="AM38" s="340"/>
      <c r="AN38" s="340">
        <v>0</v>
      </c>
      <c r="AO38" s="340"/>
      <c r="AP38" s="343">
        <v>2500</v>
      </c>
      <c r="AQ38" s="344">
        <f t="shared" ref="AQ38:AQ54" si="8">ABS(SUMIF(V38:AP38,"&gt;0")-SUMIF(V38:AP38,"&lt;0"))</f>
        <v>12625</v>
      </c>
      <c r="AR38" s="330"/>
      <c r="AS38" s="345"/>
      <c r="AV38" s="346"/>
    </row>
    <row r="39" spans="1:48" ht="15.6" customHeight="1">
      <c r="A39" s="271" t="s">
        <v>236</v>
      </c>
      <c r="B39" s="271" t="str">
        <f t="shared" ref="B39:B54" si="9">IF(AQ39=0,"Hide","Show")</f>
        <v>Show</v>
      </c>
      <c r="E39" s="347"/>
      <c r="K39" s="337" t="s">
        <v>309</v>
      </c>
      <c r="L39" s="275" t="str">
        <f t="shared" si="3"/>
        <v>001</v>
      </c>
      <c r="M39" s="275" t="str">
        <f t="shared" si="4"/>
        <v>10/1/2016..9/30/2017</v>
      </c>
      <c r="N39" s="274" t="str">
        <f t="shared" si="5"/>
        <v>HARMONY CDD</v>
      </c>
      <c r="O39" s="275" t="str">
        <f t="shared" ref="O39:O54" si="10">IF(K39="","8888888",K39)</f>
        <v>347005</v>
      </c>
      <c r="P39" s="312" t="str">
        <f t="shared" si="6"/>
        <v>347005</v>
      </c>
      <c r="Q39" s="316"/>
      <c r="R39" s="338" t="s">
        <v>310</v>
      </c>
      <c r="S39" s="338"/>
      <c r="T39" s="348">
        <v>0</v>
      </c>
      <c r="U39" s="338"/>
      <c r="V39" s="348">
        <v>0</v>
      </c>
      <c r="W39" s="349"/>
      <c r="X39" s="348">
        <v>0</v>
      </c>
      <c r="Y39" s="349"/>
      <c r="Z39" s="348">
        <v>0</v>
      </c>
      <c r="AA39" s="349"/>
      <c r="AB39" s="350">
        <v>750</v>
      </c>
      <c r="AC39" s="351"/>
      <c r="AD39" s="350">
        <v>0</v>
      </c>
      <c r="AE39" s="352"/>
      <c r="AF39" s="350">
        <v>0</v>
      </c>
      <c r="AG39" s="352"/>
      <c r="AH39" s="350">
        <v>0</v>
      </c>
      <c r="AI39" s="352"/>
      <c r="AJ39" s="353">
        <v>0</v>
      </c>
      <c r="AK39" s="352"/>
      <c r="AL39" s="350">
        <f t="shared" si="7"/>
        <v>0</v>
      </c>
      <c r="AM39" s="350"/>
      <c r="AN39" s="354">
        <v>0</v>
      </c>
      <c r="AO39" s="350"/>
      <c r="AP39" s="353">
        <v>0</v>
      </c>
      <c r="AQ39" s="344">
        <f t="shared" si="8"/>
        <v>750</v>
      </c>
      <c r="AR39" s="308"/>
      <c r="AS39" s="345"/>
      <c r="AV39" s="346"/>
    </row>
    <row r="40" spans="1:48" ht="15.6" hidden="1" customHeight="1">
      <c r="A40" s="271" t="s">
        <v>311</v>
      </c>
      <c r="B40" s="271" t="str">
        <f t="shared" si="9"/>
        <v>Hide</v>
      </c>
      <c r="E40" s="347"/>
      <c r="K40" s="337" t="str">
        <f>"351000"</f>
        <v>351000</v>
      </c>
      <c r="L40" s="275" t="str">
        <f t="shared" si="3"/>
        <v>001</v>
      </c>
      <c r="M40" s="275" t="str">
        <f t="shared" si="4"/>
        <v>10/1/2016..9/30/2017</v>
      </c>
      <c r="N40" s="274" t="str">
        <f t="shared" si="5"/>
        <v>HARMONY CDD</v>
      </c>
      <c r="O40" s="275" t="str">
        <f t="shared" si="10"/>
        <v>351000</v>
      </c>
      <c r="P40" s="312" t="str">
        <f t="shared" si="6"/>
        <v>351000</v>
      </c>
      <c r="Q40" s="316"/>
      <c r="R40" s="338" t="s">
        <v>312</v>
      </c>
      <c r="S40" s="338"/>
      <c r="T40" s="348">
        <v>0</v>
      </c>
      <c r="U40" s="338"/>
      <c r="V40" s="348">
        <v>0</v>
      </c>
      <c r="W40" s="349"/>
      <c r="X40" s="348">
        <v>0</v>
      </c>
      <c r="Y40" s="349"/>
      <c r="Z40" s="348">
        <v>0</v>
      </c>
      <c r="AA40" s="349"/>
      <c r="AB40" s="350">
        <v>0</v>
      </c>
      <c r="AC40" s="351"/>
      <c r="AD40" s="350">
        <v>0</v>
      </c>
      <c r="AE40" s="352"/>
      <c r="AF40" s="350">
        <v>0</v>
      </c>
      <c r="AG40" s="352"/>
      <c r="AH40" s="350">
        <v>0</v>
      </c>
      <c r="AI40" s="352"/>
      <c r="AJ40" s="353">
        <f>+AF40-AH40</f>
        <v>0</v>
      </c>
      <c r="AK40" s="352"/>
      <c r="AL40" s="350">
        <f t="shared" si="7"/>
        <v>0</v>
      </c>
      <c r="AM40" s="350"/>
      <c r="AN40" s="354">
        <v>0</v>
      </c>
      <c r="AO40" s="350"/>
      <c r="AP40" s="353">
        <f>IF($F$13="YES",AF40,AN40)</f>
        <v>0</v>
      </c>
      <c r="AQ40" s="344">
        <f t="shared" si="8"/>
        <v>0</v>
      </c>
      <c r="AR40" s="308"/>
      <c r="AS40" s="345"/>
      <c r="AV40" s="346"/>
    </row>
    <row r="41" spans="1:48" ht="15.6" customHeight="1">
      <c r="A41" s="271" t="s">
        <v>311</v>
      </c>
      <c r="B41" s="271" t="str">
        <f t="shared" si="9"/>
        <v>Show</v>
      </c>
      <c r="E41" s="347"/>
      <c r="K41" s="337" t="str">
        <f>"361006"</f>
        <v>361006</v>
      </c>
      <c r="L41" s="275" t="str">
        <f t="shared" si="3"/>
        <v>001</v>
      </c>
      <c r="M41" s="275" t="str">
        <f t="shared" si="4"/>
        <v>10/1/2016..9/30/2017</v>
      </c>
      <c r="N41" s="274" t="str">
        <f t="shared" si="5"/>
        <v>HARMONY CDD</v>
      </c>
      <c r="O41" s="275" t="str">
        <f t="shared" si="10"/>
        <v>361006</v>
      </c>
      <c r="P41" s="312" t="str">
        <f t="shared" si="6"/>
        <v>361006</v>
      </c>
      <c r="Q41" s="316"/>
      <c r="R41" s="338" t="s">
        <v>313</v>
      </c>
      <c r="S41" s="338"/>
      <c r="T41" s="348">
        <v>38</v>
      </c>
      <c r="U41" s="338"/>
      <c r="V41" s="348">
        <v>0</v>
      </c>
      <c r="W41" s="349"/>
      <c r="X41" s="348">
        <v>0</v>
      </c>
      <c r="Y41" s="349"/>
      <c r="Z41" s="348">
        <v>0</v>
      </c>
      <c r="AA41" s="349"/>
      <c r="AB41" s="350">
        <v>50</v>
      </c>
      <c r="AC41" s="351"/>
      <c r="AD41" s="350">
        <v>0</v>
      </c>
      <c r="AE41" s="352"/>
      <c r="AF41" s="350">
        <v>0</v>
      </c>
      <c r="AG41" s="352"/>
      <c r="AH41" s="350">
        <v>56</v>
      </c>
      <c r="AI41" s="352"/>
      <c r="AJ41" s="353">
        <v>0</v>
      </c>
      <c r="AK41" s="352"/>
      <c r="AL41" s="350">
        <f t="shared" si="7"/>
        <v>56</v>
      </c>
      <c r="AM41" s="350"/>
      <c r="AN41" s="354">
        <v>0</v>
      </c>
      <c r="AO41" s="350"/>
      <c r="AP41" s="353">
        <v>0</v>
      </c>
      <c r="AQ41" s="344">
        <f t="shared" si="8"/>
        <v>162</v>
      </c>
      <c r="AR41" s="308"/>
      <c r="AS41" s="345"/>
      <c r="AV41" s="346"/>
    </row>
    <row r="42" spans="1:48" ht="15.6" customHeight="1">
      <c r="A42" s="271" t="s">
        <v>311</v>
      </c>
      <c r="B42" s="271" t="str">
        <f t="shared" ca="1" si="9"/>
        <v>Show</v>
      </c>
      <c r="E42" s="347"/>
      <c r="K42" s="337" t="str">
        <f>"363010"</f>
        <v>363010</v>
      </c>
      <c r="L42" s="275" t="str">
        <f t="shared" si="3"/>
        <v>001</v>
      </c>
      <c r="M42" s="275" t="str">
        <f t="shared" si="4"/>
        <v>10/1/2016..9/30/2017</v>
      </c>
      <c r="N42" s="274" t="str">
        <f t="shared" si="5"/>
        <v>HARMONY CDD</v>
      </c>
      <c r="O42" s="275" t="str">
        <f t="shared" si="10"/>
        <v>363010</v>
      </c>
      <c r="P42" s="312" t="str">
        <f t="shared" si="6"/>
        <v>363010</v>
      </c>
      <c r="Q42" s="316"/>
      <c r="R42" s="338" t="s">
        <v>314</v>
      </c>
      <c r="S42" s="338"/>
      <c r="T42" s="348">
        <v>798724</v>
      </c>
      <c r="U42" s="338"/>
      <c r="V42" s="348">
        <v>0</v>
      </c>
      <c r="W42" s="349"/>
      <c r="X42" s="348">
        <v>0</v>
      </c>
      <c r="Y42" s="349"/>
      <c r="Z42" s="348">
        <v>0</v>
      </c>
      <c r="AA42" s="349"/>
      <c r="AB42" s="350">
        <v>811191</v>
      </c>
      <c r="AC42" s="351"/>
      <c r="AD42" s="350">
        <v>0</v>
      </c>
      <c r="AE42" s="352"/>
      <c r="AF42" s="350">
        <v>1017931</v>
      </c>
      <c r="AG42" s="352"/>
      <c r="AH42" s="350">
        <v>996511</v>
      </c>
      <c r="AI42" s="352"/>
      <c r="AJ42" s="353">
        <f t="shared" ref="AJ42:AJ45" si="11">+AF42-AH42</f>
        <v>21420</v>
      </c>
      <c r="AK42" s="352"/>
      <c r="AL42" s="350">
        <f t="shared" si="7"/>
        <v>1017931</v>
      </c>
      <c r="AM42" s="350"/>
      <c r="AN42" s="354">
        <v>0</v>
      </c>
      <c r="AO42" s="350"/>
      <c r="AP42" s="355">
        <f ca="1">'Assess_Rates-Rev1'!AE60</f>
        <v>1252763.5554091157</v>
      </c>
      <c r="AQ42" s="344">
        <f t="shared" ca="1" si="8"/>
        <v>5117747.5554091157</v>
      </c>
      <c r="AR42" s="308"/>
      <c r="AS42" s="345"/>
      <c r="AV42" s="346"/>
    </row>
    <row r="43" spans="1:48" ht="15.6" hidden="1" customHeight="1">
      <c r="A43" s="271" t="s">
        <v>311</v>
      </c>
      <c r="B43" s="271" t="str">
        <f t="shared" si="9"/>
        <v>Hide</v>
      </c>
      <c r="E43" s="347"/>
      <c r="K43" s="337" t="str">
        <f>"363030"</f>
        <v>363030</v>
      </c>
      <c r="L43" s="275" t="str">
        <f t="shared" si="3"/>
        <v>001</v>
      </c>
      <c r="M43" s="275" t="str">
        <f t="shared" si="4"/>
        <v>10/1/2016..9/30/2017</v>
      </c>
      <c r="N43" s="274" t="str">
        <f t="shared" si="5"/>
        <v>HARMONY CDD</v>
      </c>
      <c r="O43" s="275" t="str">
        <f t="shared" si="10"/>
        <v>363030</v>
      </c>
      <c r="P43" s="312" t="str">
        <f t="shared" si="6"/>
        <v>363030</v>
      </c>
      <c r="Q43" s="316"/>
      <c r="R43" s="338" t="s">
        <v>315</v>
      </c>
      <c r="S43" s="338"/>
      <c r="T43" s="348">
        <v>0</v>
      </c>
      <c r="U43" s="338"/>
      <c r="V43" s="348">
        <v>0</v>
      </c>
      <c r="W43" s="349"/>
      <c r="X43" s="348">
        <v>0</v>
      </c>
      <c r="Y43" s="349"/>
      <c r="Z43" s="348">
        <v>0</v>
      </c>
      <c r="AA43" s="349"/>
      <c r="AB43" s="350">
        <v>0</v>
      </c>
      <c r="AC43" s="351"/>
      <c r="AD43" s="350">
        <v>0</v>
      </c>
      <c r="AE43" s="352"/>
      <c r="AF43" s="350">
        <v>0</v>
      </c>
      <c r="AG43" s="352"/>
      <c r="AH43" s="350">
        <v>0</v>
      </c>
      <c r="AI43" s="352"/>
      <c r="AJ43" s="353">
        <f t="shared" si="11"/>
        <v>0</v>
      </c>
      <c r="AK43" s="352"/>
      <c r="AL43" s="350">
        <f t="shared" si="7"/>
        <v>0</v>
      </c>
      <c r="AM43" s="350"/>
      <c r="AN43" s="354">
        <v>0</v>
      </c>
      <c r="AO43" s="350"/>
      <c r="AP43" s="353">
        <f>IF($F$13="YES",AF43,AN43)</f>
        <v>0</v>
      </c>
      <c r="AQ43" s="344">
        <f t="shared" si="8"/>
        <v>0</v>
      </c>
      <c r="AR43" s="308"/>
      <c r="AS43" s="345"/>
      <c r="AV43" s="346"/>
    </row>
    <row r="44" spans="1:48" ht="15.6" customHeight="1">
      <c r="A44" s="271" t="s">
        <v>311</v>
      </c>
      <c r="B44" s="271" t="str">
        <f t="shared" ca="1" si="9"/>
        <v>Show</v>
      </c>
      <c r="E44" s="347"/>
      <c r="K44" s="337" t="str">
        <f>"363040"</f>
        <v>363040</v>
      </c>
      <c r="L44" s="275" t="str">
        <f t="shared" si="3"/>
        <v>001</v>
      </c>
      <c r="M44" s="275" t="str">
        <f t="shared" si="4"/>
        <v>10/1/2016..9/30/2017</v>
      </c>
      <c r="N44" s="274" t="str">
        <f t="shared" si="5"/>
        <v>HARMONY CDD</v>
      </c>
      <c r="O44" s="275" t="str">
        <f t="shared" si="10"/>
        <v>363040</v>
      </c>
      <c r="P44" s="312" t="str">
        <f t="shared" si="6"/>
        <v>363040</v>
      </c>
      <c r="Q44" s="316"/>
      <c r="R44" s="338" t="s">
        <v>316</v>
      </c>
      <c r="S44" s="338"/>
      <c r="T44" s="348">
        <v>411731</v>
      </c>
      <c r="U44" s="338"/>
      <c r="V44" s="348">
        <v>0</v>
      </c>
      <c r="W44" s="349"/>
      <c r="X44" s="348">
        <v>0</v>
      </c>
      <c r="Y44" s="349"/>
      <c r="Z44" s="348">
        <v>0</v>
      </c>
      <c r="AA44" s="349"/>
      <c r="AB44" s="350">
        <v>975831</v>
      </c>
      <c r="AC44" s="351"/>
      <c r="AD44" s="350">
        <v>0</v>
      </c>
      <c r="AE44" s="352"/>
      <c r="AF44" s="350">
        <v>893202</v>
      </c>
      <c r="AG44" s="352"/>
      <c r="AH44" s="350">
        <v>618076</v>
      </c>
      <c r="AI44" s="352"/>
      <c r="AJ44" s="353">
        <f t="shared" si="11"/>
        <v>275126</v>
      </c>
      <c r="AK44" s="352"/>
      <c r="AL44" s="350">
        <f t="shared" si="7"/>
        <v>893202</v>
      </c>
      <c r="AM44" s="350"/>
      <c r="AN44" s="354">
        <v>0</v>
      </c>
      <c r="AO44" s="350"/>
      <c r="AP44" s="355">
        <f ca="1">'Assess_Rates-Rev1'!AE61</f>
        <v>672444.25791543117</v>
      </c>
      <c r="AQ44" s="344">
        <f t="shared" ca="1" si="8"/>
        <v>4327881.2579154316</v>
      </c>
      <c r="AR44" s="308"/>
      <c r="AS44" s="345"/>
      <c r="AV44" s="346"/>
    </row>
    <row r="45" spans="1:48" ht="15.6" hidden="1" customHeight="1">
      <c r="A45" s="271" t="s">
        <v>311</v>
      </c>
      <c r="B45" s="271" t="str">
        <f t="shared" si="9"/>
        <v>Hide</v>
      </c>
      <c r="E45" s="347"/>
      <c r="K45" s="337" t="str">
        <f>"363050"</f>
        <v>363050</v>
      </c>
      <c r="L45" s="275" t="str">
        <f t="shared" si="3"/>
        <v>001</v>
      </c>
      <c r="M45" s="275" t="str">
        <f t="shared" si="4"/>
        <v>10/1/2016..9/30/2017</v>
      </c>
      <c r="N45" s="274" t="str">
        <f t="shared" si="5"/>
        <v>HARMONY CDD</v>
      </c>
      <c r="O45" s="275" t="str">
        <f t="shared" si="10"/>
        <v>363050</v>
      </c>
      <c r="P45" s="275" t="str">
        <f t="shared" si="6"/>
        <v>363050</v>
      </c>
      <c r="Q45" s="356"/>
      <c r="R45" s="338" t="s">
        <v>317</v>
      </c>
      <c r="S45" s="338"/>
      <c r="T45" s="348">
        <v>0</v>
      </c>
      <c r="U45" s="338"/>
      <c r="V45" s="348">
        <v>0</v>
      </c>
      <c r="W45" s="349"/>
      <c r="X45" s="348">
        <v>0</v>
      </c>
      <c r="Y45" s="349"/>
      <c r="Z45" s="348">
        <v>0</v>
      </c>
      <c r="AA45" s="349"/>
      <c r="AB45" s="350">
        <v>0</v>
      </c>
      <c r="AC45" s="351"/>
      <c r="AD45" s="350">
        <v>0</v>
      </c>
      <c r="AE45" s="352"/>
      <c r="AF45" s="350">
        <v>0</v>
      </c>
      <c r="AG45" s="352"/>
      <c r="AH45" s="350">
        <v>0</v>
      </c>
      <c r="AI45" s="352"/>
      <c r="AJ45" s="357">
        <f t="shared" si="11"/>
        <v>0</v>
      </c>
      <c r="AK45" s="352"/>
      <c r="AL45" s="350">
        <f t="shared" si="7"/>
        <v>0</v>
      </c>
      <c r="AM45" s="350"/>
      <c r="AN45" s="354">
        <v>0</v>
      </c>
      <c r="AO45" s="350"/>
      <c r="AP45" s="353">
        <f>IF($F$13="YES",AF45,AN45)</f>
        <v>0</v>
      </c>
      <c r="AQ45" s="344">
        <f t="shared" si="8"/>
        <v>0</v>
      </c>
      <c r="AR45" s="308"/>
      <c r="AS45" s="345"/>
      <c r="AV45" s="346"/>
    </row>
    <row r="46" spans="1:48" ht="15.6" customHeight="1">
      <c r="A46" s="271" t="s">
        <v>311</v>
      </c>
      <c r="B46" s="271" t="str">
        <f t="shared" ca="1" si="9"/>
        <v>Show</v>
      </c>
      <c r="E46" s="347"/>
      <c r="K46" s="337" t="str">
        <f>"363090"</f>
        <v>363090</v>
      </c>
      <c r="L46" s="275" t="str">
        <f t="shared" si="3"/>
        <v>001</v>
      </c>
      <c r="M46" s="275" t="str">
        <f t="shared" si="4"/>
        <v>10/1/2016..9/30/2017</v>
      </c>
      <c r="N46" s="274" t="str">
        <f t="shared" si="5"/>
        <v>HARMONY CDD</v>
      </c>
      <c r="O46" s="275" t="str">
        <f t="shared" si="10"/>
        <v>363090</v>
      </c>
      <c r="P46" s="275" t="str">
        <f t="shared" si="6"/>
        <v>363090</v>
      </c>
      <c r="Q46" s="356"/>
      <c r="R46" s="338" t="s">
        <v>318</v>
      </c>
      <c r="S46" s="338"/>
      <c r="T46" s="348">
        <v>-30179</v>
      </c>
      <c r="U46" s="338"/>
      <c r="V46" s="348">
        <v>0</v>
      </c>
      <c r="W46" s="349"/>
      <c r="X46" s="348">
        <v>0</v>
      </c>
      <c r="Y46" s="349"/>
      <c r="Z46" s="348">
        <v>0</v>
      </c>
      <c r="AA46" s="349"/>
      <c r="AB46" s="350">
        <v>-21930</v>
      </c>
      <c r="AC46" s="351"/>
      <c r="AD46" s="350">
        <v>0</v>
      </c>
      <c r="AE46" s="352"/>
      <c r="AF46" s="350">
        <f>ROUND(-AF42*0.04,0)</f>
        <v>-40717</v>
      </c>
      <c r="AG46" s="352"/>
      <c r="AH46" s="350">
        <v>-30144</v>
      </c>
      <c r="AI46" s="352"/>
      <c r="AJ46" s="353">
        <v>0</v>
      </c>
      <c r="AK46" s="352"/>
      <c r="AL46" s="350">
        <f t="shared" si="7"/>
        <v>-30144</v>
      </c>
      <c r="AM46" s="350"/>
      <c r="AN46" s="354">
        <v>0</v>
      </c>
      <c r="AO46" s="350"/>
      <c r="AP46" s="353">
        <f ca="1">-AP42*0.04</f>
        <v>-50110.542216364629</v>
      </c>
      <c r="AQ46" s="344">
        <f t="shared" ca="1" si="8"/>
        <v>173045.54221636464</v>
      </c>
      <c r="AR46" s="308"/>
      <c r="AS46" s="345"/>
      <c r="AV46" s="346"/>
    </row>
    <row r="47" spans="1:48" ht="15.6" customHeight="1">
      <c r="A47" s="271" t="s">
        <v>311</v>
      </c>
      <c r="B47" s="271" t="str">
        <f t="shared" si="9"/>
        <v>Show</v>
      </c>
      <c r="E47" s="347"/>
      <c r="K47" s="337" t="str">
        <f>"364010"</f>
        <v>364010</v>
      </c>
      <c r="L47" s="275" t="str">
        <f t="shared" si="3"/>
        <v>001</v>
      </c>
      <c r="M47" s="275" t="str">
        <f t="shared" si="4"/>
        <v>10/1/2016..9/30/2017</v>
      </c>
      <c r="N47" s="274" t="str">
        <f t="shared" si="5"/>
        <v>HARMONY CDD</v>
      </c>
      <c r="O47" s="275" t="str">
        <f t="shared" si="10"/>
        <v>364010</v>
      </c>
      <c r="P47" s="275" t="str">
        <f t="shared" si="6"/>
        <v>364010</v>
      </c>
      <c r="Q47" s="356"/>
      <c r="R47" s="338" t="s">
        <v>319</v>
      </c>
      <c r="S47" s="338"/>
      <c r="T47" s="348">
        <v>0</v>
      </c>
      <c r="U47" s="338"/>
      <c r="V47" s="348">
        <v>0</v>
      </c>
      <c r="W47" s="349"/>
      <c r="X47" s="348">
        <v>0</v>
      </c>
      <c r="Y47" s="349"/>
      <c r="Z47" s="348">
        <v>0</v>
      </c>
      <c r="AA47" s="349"/>
      <c r="AB47" s="350">
        <v>50</v>
      </c>
      <c r="AC47" s="351"/>
      <c r="AD47" s="350">
        <v>0</v>
      </c>
      <c r="AE47" s="352"/>
      <c r="AF47" s="350">
        <v>0</v>
      </c>
      <c r="AG47" s="352"/>
      <c r="AH47" s="350">
        <v>0</v>
      </c>
      <c r="AI47" s="352"/>
      <c r="AJ47" s="353">
        <v>0</v>
      </c>
      <c r="AK47" s="352"/>
      <c r="AL47" s="350">
        <f t="shared" si="7"/>
        <v>0</v>
      </c>
      <c r="AM47" s="350"/>
      <c r="AN47" s="354">
        <v>0</v>
      </c>
      <c r="AO47" s="350"/>
      <c r="AP47" s="353">
        <v>0</v>
      </c>
      <c r="AQ47" s="344">
        <f t="shared" si="8"/>
        <v>50</v>
      </c>
      <c r="AR47" s="308"/>
      <c r="AS47" s="345"/>
      <c r="AV47" s="346"/>
    </row>
    <row r="48" spans="1:48" ht="15.6" hidden="1" customHeight="1">
      <c r="A48" s="271" t="s">
        <v>311</v>
      </c>
      <c r="B48" s="271" t="str">
        <f t="shared" si="9"/>
        <v>Hide</v>
      </c>
      <c r="E48" s="347"/>
      <c r="K48" s="337" t="str">
        <f>"366010"</f>
        <v>366010</v>
      </c>
      <c r="L48" s="275" t="str">
        <f t="shared" si="3"/>
        <v>001</v>
      </c>
      <c r="M48" s="275" t="str">
        <f t="shared" si="4"/>
        <v>10/1/2016..9/30/2017</v>
      </c>
      <c r="N48" s="274" t="str">
        <f t="shared" si="5"/>
        <v>HARMONY CDD</v>
      </c>
      <c r="O48" s="275" t="str">
        <f t="shared" si="10"/>
        <v>366010</v>
      </c>
      <c r="P48" s="275" t="str">
        <f t="shared" si="6"/>
        <v>366010</v>
      </c>
      <c r="Q48" s="356"/>
      <c r="R48" s="338" t="s">
        <v>320</v>
      </c>
      <c r="S48" s="338"/>
      <c r="T48" s="348">
        <v>0</v>
      </c>
      <c r="U48" s="338"/>
      <c r="V48" s="348">
        <v>0</v>
      </c>
      <c r="W48" s="349"/>
      <c r="X48" s="348">
        <v>0</v>
      </c>
      <c r="Y48" s="349"/>
      <c r="Z48" s="348">
        <v>0</v>
      </c>
      <c r="AA48" s="349"/>
      <c r="AB48" s="350">
        <v>0</v>
      </c>
      <c r="AC48" s="351"/>
      <c r="AD48" s="350">
        <v>0</v>
      </c>
      <c r="AE48" s="352"/>
      <c r="AF48" s="350">
        <v>0</v>
      </c>
      <c r="AG48" s="352"/>
      <c r="AH48" s="350">
        <v>0</v>
      </c>
      <c r="AI48" s="352"/>
      <c r="AJ48" s="353">
        <f>+AF48-AH48</f>
        <v>0</v>
      </c>
      <c r="AK48" s="352"/>
      <c r="AL48" s="350">
        <f t="shared" si="7"/>
        <v>0</v>
      </c>
      <c r="AM48" s="350"/>
      <c r="AN48" s="354">
        <v>0</v>
      </c>
      <c r="AO48" s="350"/>
      <c r="AP48" s="353">
        <f>IF($F$13="YES",AF48,AN48)</f>
        <v>0</v>
      </c>
      <c r="AQ48" s="344">
        <f t="shared" si="8"/>
        <v>0</v>
      </c>
      <c r="AR48" s="308"/>
      <c r="AS48" s="345"/>
      <c r="AV48" s="346"/>
    </row>
    <row r="49" spans="1:58" ht="15.6" customHeight="1">
      <c r="A49" s="271" t="s">
        <v>311</v>
      </c>
      <c r="B49" s="271" t="str">
        <f t="shared" si="9"/>
        <v>Show</v>
      </c>
      <c r="E49" s="347"/>
      <c r="K49" s="337" t="str">
        <f>"369300"</f>
        <v>369300</v>
      </c>
      <c r="L49" s="275" t="str">
        <f t="shared" si="3"/>
        <v>001</v>
      </c>
      <c r="M49" s="275" t="str">
        <f t="shared" si="4"/>
        <v>10/1/2016..9/30/2017</v>
      </c>
      <c r="N49" s="274" t="str">
        <f t="shared" si="5"/>
        <v>HARMONY CDD</v>
      </c>
      <c r="O49" s="275" t="str">
        <f t="shared" si="10"/>
        <v>369300</v>
      </c>
      <c r="P49" s="275" t="str">
        <f t="shared" si="6"/>
        <v>369300</v>
      </c>
      <c r="Q49" s="356"/>
      <c r="R49" s="338" t="s">
        <v>321</v>
      </c>
      <c r="S49" s="338"/>
      <c r="T49" s="348">
        <v>0</v>
      </c>
      <c r="U49" s="338"/>
      <c r="V49" s="348">
        <v>0</v>
      </c>
      <c r="W49" s="349"/>
      <c r="X49" s="348">
        <v>0</v>
      </c>
      <c r="Y49" s="349"/>
      <c r="Z49" s="348">
        <v>0</v>
      </c>
      <c r="AA49" s="349"/>
      <c r="AB49" s="350">
        <v>0</v>
      </c>
      <c r="AC49" s="351"/>
      <c r="AD49" s="350">
        <v>0</v>
      </c>
      <c r="AE49" s="352"/>
      <c r="AF49" s="350">
        <v>0</v>
      </c>
      <c r="AG49" s="352"/>
      <c r="AH49" s="350">
        <v>7864</v>
      </c>
      <c r="AI49" s="352"/>
      <c r="AJ49" s="353">
        <v>0</v>
      </c>
      <c r="AK49" s="352"/>
      <c r="AL49" s="350">
        <f t="shared" si="7"/>
        <v>7864</v>
      </c>
      <c r="AM49" s="350"/>
      <c r="AN49" s="354">
        <v>0</v>
      </c>
      <c r="AO49" s="350"/>
      <c r="AP49" s="353">
        <v>0</v>
      </c>
      <c r="AQ49" s="344">
        <f t="shared" si="8"/>
        <v>15728</v>
      </c>
      <c r="AR49" s="308"/>
      <c r="AS49" s="345"/>
      <c r="AV49" s="346"/>
    </row>
    <row r="50" spans="1:58" ht="15.6" customHeight="1">
      <c r="A50" s="271" t="s">
        <v>311</v>
      </c>
      <c r="B50" s="271" t="str">
        <f t="shared" si="9"/>
        <v>Show</v>
      </c>
      <c r="E50" s="347"/>
      <c r="K50" s="337" t="str">
        <f>"369900"</f>
        <v>369900</v>
      </c>
      <c r="L50" s="275" t="str">
        <f t="shared" si="3"/>
        <v>001</v>
      </c>
      <c r="M50" s="275" t="str">
        <f t="shared" si="4"/>
        <v>10/1/2016..9/30/2017</v>
      </c>
      <c r="N50" s="274" t="str">
        <f t="shared" si="5"/>
        <v>HARMONY CDD</v>
      </c>
      <c r="O50" s="275" t="str">
        <f t="shared" si="10"/>
        <v>369900</v>
      </c>
      <c r="P50" s="275" t="str">
        <f t="shared" si="6"/>
        <v>369900</v>
      </c>
      <c r="Q50" s="356"/>
      <c r="R50" s="338" t="s">
        <v>322</v>
      </c>
      <c r="S50" s="338"/>
      <c r="T50" s="348">
        <v>7373</v>
      </c>
      <c r="U50" s="338"/>
      <c r="V50" s="348">
        <v>0</v>
      </c>
      <c r="W50" s="349"/>
      <c r="X50" s="348">
        <v>0</v>
      </c>
      <c r="Y50" s="349"/>
      <c r="Z50" s="348">
        <v>0</v>
      </c>
      <c r="AA50" s="349"/>
      <c r="AB50" s="350">
        <v>1205</v>
      </c>
      <c r="AC50" s="351"/>
      <c r="AD50" s="350">
        <v>0</v>
      </c>
      <c r="AE50" s="352"/>
      <c r="AF50" s="350">
        <v>0</v>
      </c>
      <c r="AG50" s="352"/>
      <c r="AH50" s="350">
        <v>9678</v>
      </c>
      <c r="AI50" s="352"/>
      <c r="AJ50" s="353">
        <v>0</v>
      </c>
      <c r="AK50" s="352"/>
      <c r="AL50" s="350">
        <f t="shared" si="7"/>
        <v>9678</v>
      </c>
      <c r="AM50" s="350"/>
      <c r="AN50" s="354">
        <v>0</v>
      </c>
      <c r="AO50" s="350"/>
      <c r="AP50" s="353">
        <v>0</v>
      </c>
      <c r="AQ50" s="344">
        <f t="shared" si="8"/>
        <v>20561</v>
      </c>
      <c r="AR50" s="308"/>
      <c r="AS50" s="345"/>
      <c r="AV50" s="346"/>
    </row>
    <row r="51" spans="1:58" ht="15.6" hidden="1" customHeight="1">
      <c r="A51" s="271" t="s">
        <v>311</v>
      </c>
      <c r="B51" s="271" t="str">
        <f t="shared" si="9"/>
        <v>Hide</v>
      </c>
      <c r="E51" s="347"/>
      <c r="K51" s="337" t="str">
        <f>"369940"</f>
        <v>369940</v>
      </c>
      <c r="L51" s="275" t="str">
        <f t="shared" si="3"/>
        <v>001</v>
      </c>
      <c r="M51" s="275" t="str">
        <f t="shared" si="4"/>
        <v>10/1/2016..9/30/2017</v>
      </c>
      <c r="N51" s="274" t="str">
        <f t="shared" si="5"/>
        <v>HARMONY CDD</v>
      </c>
      <c r="O51" s="275" t="str">
        <f t="shared" si="10"/>
        <v>369940</v>
      </c>
      <c r="P51" s="275" t="str">
        <f t="shared" si="6"/>
        <v>369940</v>
      </c>
      <c r="Q51" s="356"/>
      <c r="R51" s="338" t="s">
        <v>323</v>
      </c>
      <c r="S51" s="338"/>
      <c r="T51" s="348">
        <v>0</v>
      </c>
      <c r="U51" s="338"/>
      <c r="V51" s="348">
        <v>0</v>
      </c>
      <c r="W51" s="349"/>
      <c r="X51" s="348">
        <v>0</v>
      </c>
      <c r="Y51" s="349"/>
      <c r="Z51" s="348">
        <v>0</v>
      </c>
      <c r="AA51" s="349"/>
      <c r="AB51" s="350">
        <v>0</v>
      </c>
      <c r="AC51" s="351"/>
      <c r="AD51" s="350">
        <v>0</v>
      </c>
      <c r="AE51" s="352"/>
      <c r="AF51" s="350">
        <v>0</v>
      </c>
      <c r="AG51" s="352"/>
      <c r="AH51" s="350">
        <v>0</v>
      </c>
      <c r="AI51" s="352"/>
      <c r="AJ51" s="353">
        <f t="shared" ref="AJ51:AJ52" si="12">+AF51-AH51</f>
        <v>0</v>
      </c>
      <c r="AK51" s="352"/>
      <c r="AL51" s="350">
        <f t="shared" si="7"/>
        <v>0</v>
      </c>
      <c r="AM51" s="350"/>
      <c r="AN51" s="354">
        <v>0</v>
      </c>
      <c r="AO51" s="350"/>
      <c r="AP51" s="353">
        <f>IF($F$13="YES",AF51,AN51)</f>
        <v>0</v>
      </c>
      <c r="AQ51" s="344">
        <f t="shared" si="8"/>
        <v>0</v>
      </c>
      <c r="AR51" s="308"/>
      <c r="AS51" s="345"/>
      <c r="AV51" s="346"/>
    </row>
    <row r="52" spans="1:58" ht="15.6" customHeight="1">
      <c r="A52" s="271" t="s">
        <v>311</v>
      </c>
      <c r="B52" s="271" t="str">
        <f t="shared" si="9"/>
        <v>Show</v>
      </c>
      <c r="E52" s="347"/>
      <c r="K52" s="337" t="str">
        <f>"369941"</f>
        <v>369941</v>
      </c>
      <c r="L52" s="275" t="str">
        <f t="shared" si="3"/>
        <v>001</v>
      </c>
      <c r="M52" s="275" t="str">
        <f t="shared" si="4"/>
        <v>10/1/2016..9/30/2017</v>
      </c>
      <c r="N52" s="274" t="str">
        <f t="shared" si="5"/>
        <v>HARMONY CDD</v>
      </c>
      <c r="O52" s="275" t="str">
        <f t="shared" si="10"/>
        <v>369941</v>
      </c>
      <c r="P52" s="275" t="str">
        <f t="shared" si="6"/>
        <v>369941</v>
      </c>
      <c r="Q52" s="356"/>
      <c r="R52" s="338" t="s">
        <v>324</v>
      </c>
      <c r="S52" s="338"/>
      <c r="T52" s="348">
        <v>410</v>
      </c>
      <c r="U52" s="338"/>
      <c r="V52" s="348">
        <v>0</v>
      </c>
      <c r="W52" s="349"/>
      <c r="X52" s="348">
        <v>0</v>
      </c>
      <c r="Y52" s="349"/>
      <c r="Z52" s="348">
        <v>0</v>
      </c>
      <c r="AA52" s="349"/>
      <c r="AB52" s="350">
        <v>2065</v>
      </c>
      <c r="AC52" s="351"/>
      <c r="AD52" s="350">
        <v>0</v>
      </c>
      <c r="AE52" s="352"/>
      <c r="AF52" s="350">
        <v>1200</v>
      </c>
      <c r="AG52" s="352"/>
      <c r="AH52" s="350">
        <v>890</v>
      </c>
      <c r="AI52" s="352"/>
      <c r="AJ52" s="353">
        <f t="shared" si="12"/>
        <v>310</v>
      </c>
      <c r="AK52" s="352"/>
      <c r="AL52" s="350">
        <f t="shared" si="7"/>
        <v>1200</v>
      </c>
      <c r="AM52" s="350"/>
      <c r="AN52" s="354">
        <v>0</v>
      </c>
      <c r="AO52" s="350"/>
      <c r="AP52" s="353">
        <v>1200</v>
      </c>
      <c r="AQ52" s="344">
        <f t="shared" si="8"/>
        <v>6865</v>
      </c>
      <c r="AR52" s="308"/>
      <c r="AS52" s="345"/>
      <c r="AV52" s="346"/>
    </row>
    <row r="53" spans="1:58" ht="15.6" customHeight="1">
      <c r="A53" s="271" t="s">
        <v>311</v>
      </c>
      <c r="B53" s="271" t="str">
        <f t="shared" si="9"/>
        <v>Show</v>
      </c>
      <c r="E53" s="347"/>
      <c r="K53" s="337" t="str">
        <f>"369980"</f>
        <v>369980</v>
      </c>
      <c r="L53" s="275" t="str">
        <f t="shared" si="3"/>
        <v>001</v>
      </c>
      <c r="M53" s="275" t="str">
        <f t="shared" si="4"/>
        <v>10/1/2016..9/30/2017</v>
      </c>
      <c r="N53" s="274" t="str">
        <f t="shared" si="5"/>
        <v>HARMONY CDD</v>
      </c>
      <c r="O53" s="275" t="str">
        <f t="shared" si="10"/>
        <v>369980</v>
      </c>
      <c r="P53" s="275" t="str">
        <f t="shared" si="6"/>
        <v>369980</v>
      </c>
      <c r="Q53" s="356"/>
      <c r="R53" s="338" t="s">
        <v>325</v>
      </c>
      <c r="S53" s="338"/>
      <c r="T53" s="348">
        <v>1250</v>
      </c>
      <c r="U53" s="338"/>
      <c r="V53" s="348">
        <v>0</v>
      </c>
      <c r="W53" s="349"/>
      <c r="X53" s="348">
        <v>0</v>
      </c>
      <c r="Y53" s="349"/>
      <c r="Z53" s="348">
        <v>0</v>
      </c>
      <c r="AA53" s="349"/>
      <c r="AB53" s="350">
        <v>0</v>
      </c>
      <c r="AC53" s="351"/>
      <c r="AD53" s="350">
        <v>0</v>
      </c>
      <c r="AE53" s="352"/>
      <c r="AF53" s="350">
        <v>0</v>
      </c>
      <c r="AG53" s="352"/>
      <c r="AH53" s="350">
        <v>2790</v>
      </c>
      <c r="AI53" s="352"/>
      <c r="AJ53" s="353">
        <f>4000-AH53</f>
        <v>1210</v>
      </c>
      <c r="AK53" s="352"/>
      <c r="AL53" s="350">
        <f t="shared" si="7"/>
        <v>4000</v>
      </c>
      <c r="AM53" s="350"/>
      <c r="AN53" s="354">
        <v>0</v>
      </c>
      <c r="AO53" s="350"/>
      <c r="AP53" s="353">
        <v>4000</v>
      </c>
      <c r="AQ53" s="344">
        <f t="shared" si="8"/>
        <v>12000</v>
      </c>
      <c r="AR53" s="308"/>
      <c r="AS53" s="345"/>
      <c r="AV53" s="346"/>
    </row>
    <row r="54" spans="1:58" ht="15.6" customHeight="1">
      <c r="A54" s="271" t="s">
        <v>311</v>
      </c>
      <c r="B54" s="271" t="str">
        <f t="shared" si="9"/>
        <v>Show</v>
      </c>
      <c r="E54" s="347"/>
      <c r="K54" s="337" t="str">
        <f>"369922"</f>
        <v>369922</v>
      </c>
      <c r="L54" s="275" t="str">
        <f t="shared" si="3"/>
        <v>001</v>
      </c>
      <c r="M54" s="275" t="str">
        <f t="shared" si="4"/>
        <v>10/1/2016..9/30/2017</v>
      </c>
      <c r="N54" s="274" t="str">
        <f t="shared" si="5"/>
        <v>HARMONY CDD</v>
      </c>
      <c r="O54" s="275" t="str">
        <f t="shared" si="10"/>
        <v>369922</v>
      </c>
      <c r="P54" s="275" t="str">
        <f t="shared" si="6"/>
        <v>369922</v>
      </c>
      <c r="Q54" s="356"/>
      <c r="R54" s="338" t="s">
        <v>326</v>
      </c>
      <c r="S54" s="338"/>
      <c r="T54" s="348">
        <v>1000</v>
      </c>
      <c r="U54" s="338"/>
      <c r="V54" s="348">
        <v>0</v>
      </c>
      <c r="W54" s="349"/>
      <c r="X54" s="348">
        <v>0</v>
      </c>
      <c r="Y54" s="349"/>
      <c r="Z54" s="348">
        <v>0</v>
      </c>
      <c r="AA54" s="349"/>
      <c r="AB54" s="350">
        <v>0</v>
      </c>
      <c r="AC54" s="351"/>
      <c r="AD54" s="350">
        <v>0</v>
      </c>
      <c r="AE54" s="352"/>
      <c r="AF54" s="350">
        <v>0</v>
      </c>
      <c r="AG54" s="352"/>
      <c r="AH54" s="350">
        <v>1000</v>
      </c>
      <c r="AI54" s="352"/>
      <c r="AJ54" s="353">
        <v>0</v>
      </c>
      <c r="AK54" s="352"/>
      <c r="AL54" s="350">
        <f t="shared" si="7"/>
        <v>1000</v>
      </c>
      <c r="AM54" s="350"/>
      <c r="AN54" s="354">
        <v>0</v>
      </c>
      <c r="AO54" s="350"/>
      <c r="AP54" s="1457">
        <v>0</v>
      </c>
      <c r="AQ54" s="344">
        <f t="shared" si="8"/>
        <v>2000</v>
      </c>
      <c r="AR54" s="308"/>
      <c r="AS54" s="1455" t="s">
        <v>7923</v>
      </c>
      <c r="AV54" s="346"/>
    </row>
    <row r="55" spans="1:58" ht="3.95" customHeight="1">
      <c r="B55" s="274" t="s">
        <v>62</v>
      </c>
      <c r="E55" s="347"/>
      <c r="K55" s="278"/>
      <c r="L55" s="275"/>
      <c r="M55" s="275"/>
      <c r="N55" s="274"/>
      <c r="O55" s="275"/>
      <c r="P55" s="275"/>
      <c r="Q55" s="356"/>
      <c r="R55" s="338"/>
      <c r="S55" s="338"/>
      <c r="T55" s="339"/>
      <c r="U55" s="338"/>
      <c r="V55" s="339"/>
      <c r="W55" s="338"/>
      <c r="X55" s="339"/>
      <c r="Y55" s="338"/>
      <c r="Z55" s="339"/>
      <c r="AA55" s="338"/>
      <c r="AB55" s="350"/>
      <c r="AC55" s="351"/>
      <c r="AD55" s="350"/>
      <c r="AE55" s="352"/>
      <c r="AF55" s="350"/>
      <c r="AG55" s="352"/>
      <c r="AH55" s="350"/>
      <c r="AI55" s="352"/>
      <c r="AJ55" s="350"/>
      <c r="AK55" s="352"/>
      <c r="AL55" s="350"/>
      <c r="AM55" s="350"/>
      <c r="AN55" s="350"/>
      <c r="AO55" s="350"/>
      <c r="AP55" s="350"/>
      <c r="AQ55" s="358"/>
      <c r="AR55" s="308"/>
      <c r="AS55" s="359"/>
    </row>
    <row r="56" spans="1:58" ht="15" hidden="1" customHeight="1">
      <c r="B56" s="274" t="s">
        <v>31</v>
      </c>
      <c r="E56" s="336">
        <f>IF(OR($D$7=0,$F$16="NO"),0,"300001..361000|361002..369999")</f>
        <v>0</v>
      </c>
      <c r="F56" s="300"/>
      <c r="K56" s="278"/>
      <c r="L56" s="275"/>
      <c r="M56" s="275"/>
      <c r="N56" s="274"/>
      <c r="O56" s="275"/>
      <c r="P56" s="275"/>
      <c r="Q56" s="356"/>
      <c r="R56" s="338"/>
      <c r="S56" s="338"/>
      <c r="T56" s="339"/>
      <c r="U56" s="338"/>
      <c r="V56" s="339"/>
      <c r="W56" s="338"/>
      <c r="X56" s="339"/>
      <c r="Y56" s="338"/>
      <c r="Z56" s="339"/>
      <c r="AA56" s="338"/>
      <c r="AB56" s="350"/>
      <c r="AC56" s="351"/>
      <c r="AD56" s="350"/>
      <c r="AE56" s="352"/>
      <c r="AF56" s="350"/>
      <c r="AG56" s="352"/>
      <c r="AH56" s="350"/>
      <c r="AI56" s="352"/>
      <c r="AJ56" s="350"/>
      <c r="AK56" s="352"/>
      <c r="AL56" s="350"/>
      <c r="AM56" s="350"/>
      <c r="AN56" s="350"/>
      <c r="AO56" s="350"/>
      <c r="AP56" s="350"/>
      <c r="AQ56" s="358"/>
      <c r="AR56" s="308"/>
      <c r="AS56" s="359"/>
    </row>
    <row r="57" spans="1:58" ht="15" hidden="1" customHeight="1">
      <c r="B57" s="274" t="s">
        <v>31</v>
      </c>
      <c r="I57" s="360"/>
      <c r="K57" s="278"/>
      <c r="L57" s="275"/>
      <c r="M57" s="275"/>
      <c r="N57" s="274"/>
      <c r="O57" s="275"/>
      <c r="P57" s="275"/>
      <c r="Q57" s="356"/>
      <c r="R57" s="338"/>
      <c r="S57" s="338"/>
      <c r="T57" s="339"/>
      <c r="U57" s="338"/>
      <c r="V57" s="339"/>
      <c r="W57" s="338"/>
      <c r="X57" s="339"/>
      <c r="Y57" s="338"/>
      <c r="Z57" s="339"/>
      <c r="AA57" s="338"/>
      <c r="AB57" s="350"/>
      <c r="AC57" s="351"/>
      <c r="AD57" s="350"/>
      <c r="AE57" s="352"/>
      <c r="AF57" s="350"/>
      <c r="AG57" s="352"/>
      <c r="AH57" s="350"/>
      <c r="AI57" s="352"/>
      <c r="AJ57" s="350"/>
      <c r="AK57" s="352"/>
      <c r="AL57" s="350"/>
      <c r="AM57" s="350"/>
      <c r="AN57" s="350"/>
      <c r="AO57" s="350"/>
      <c r="AP57" s="350"/>
      <c r="AQ57" s="358"/>
      <c r="AR57" s="308"/>
      <c r="AS57" s="359"/>
    </row>
    <row r="58" spans="1:58" ht="15" hidden="1" customHeight="1">
      <c r="B58" s="274" t="str">
        <f>B61</f>
        <v>Hide</v>
      </c>
      <c r="I58" s="360" t="str">
        <f>IF(I57="","9999999",I57)</f>
        <v>9999999</v>
      </c>
      <c r="K58" s="278"/>
      <c r="L58" s="275"/>
      <c r="M58" s="275"/>
      <c r="N58" s="274"/>
      <c r="O58" s="275"/>
      <c r="P58" s="275"/>
      <c r="Q58" s="356"/>
      <c r="R58" s="361"/>
      <c r="S58" s="338"/>
      <c r="T58" s="339"/>
      <c r="U58" s="338"/>
      <c r="V58" s="339"/>
      <c r="W58" s="338"/>
      <c r="X58" s="339"/>
      <c r="Y58" s="338"/>
      <c r="Z58" s="339"/>
      <c r="AA58" s="338"/>
      <c r="AB58" s="350"/>
      <c r="AC58" s="351"/>
      <c r="AD58" s="350"/>
      <c r="AE58" s="352"/>
      <c r="AF58" s="350"/>
      <c r="AG58" s="352"/>
      <c r="AH58" s="350"/>
      <c r="AI58" s="352"/>
      <c r="AJ58" s="350"/>
      <c r="AK58" s="352"/>
      <c r="AL58" s="350"/>
      <c r="AM58" s="350"/>
      <c r="AN58" s="350"/>
      <c r="AO58" s="350"/>
      <c r="AP58" s="350"/>
      <c r="AQ58" s="358"/>
      <c r="AR58" s="308"/>
      <c r="AS58" s="359"/>
      <c r="AU58" s="362" t="s">
        <v>301</v>
      </c>
      <c r="AV58" s="362" t="str">
        <f>$V$33</f>
        <v>FY 2012</v>
      </c>
      <c r="AW58" s="362" t="str">
        <f>$X$33</f>
        <v>FY 2013</v>
      </c>
      <c r="AX58" s="362" t="str">
        <f>$Z$33</f>
        <v>FY 2014</v>
      </c>
      <c r="AY58" s="362" t="str">
        <f>$AB$33</f>
        <v>FY - 2015</v>
      </c>
      <c r="AZ58" s="362" t="s">
        <v>327</v>
      </c>
      <c r="BA58" s="362" t="s">
        <v>328</v>
      </c>
      <c r="BB58" s="362" t="s">
        <v>329</v>
      </c>
      <c r="BC58" s="362" t="s">
        <v>330</v>
      </c>
      <c r="BD58" s="362" t="s">
        <v>289</v>
      </c>
      <c r="BE58" s="362" t="s">
        <v>331</v>
      </c>
      <c r="BF58" s="362" t="s">
        <v>332</v>
      </c>
    </row>
    <row r="59" spans="1:58" ht="15" hidden="1" customHeight="1">
      <c r="A59" s="271" t="s">
        <v>236</v>
      </c>
      <c r="B59" s="271" t="str">
        <f>IF(AQ59=0,"Hide","Show")</f>
        <v>Hide</v>
      </c>
      <c r="E59" s="347"/>
      <c r="I59" s="360" t="str">
        <f t="shared" ref="I59:I62" si="13">I58</f>
        <v>9999999</v>
      </c>
      <c r="K59" s="337"/>
      <c r="L59" s="275" t="str">
        <f>$F$22</f>
        <v>001</v>
      </c>
      <c r="M59" s="275" t="str">
        <f>$J$7</f>
        <v>10/1/2016..9/30/2017</v>
      </c>
      <c r="N59" s="274" t="str">
        <f>$D$6</f>
        <v>HARMONY CDD</v>
      </c>
      <c r="O59" s="275" t="str">
        <f>K59&amp;" "&amp;I59</f>
        <v xml:space="preserve"> 9999999</v>
      </c>
      <c r="P59" s="275">
        <f>K59</f>
        <v>0</v>
      </c>
      <c r="Q59" s="356"/>
      <c r="R59" s="338"/>
      <c r="S59" s="338"/>
      <c r="T59" s="348">
        <v>0</v>
      </c>
      <c r="U59" s="338"/>
      <c r="V59" s="348">
        <v>0</v>
      </c>
      <c r="W59" s="349"/>
      <c r="X59" s="348">
        <v>0</v>
      </c>
      <c r="Y59" s="349"/>
      <c r="Z59" s="348">
        <v>0</v>
      </c>
      <c r="AA59" s="349"/>
      <c r="AB59" s="350">
        <v>0</v>
      </c>
      <c r="AC59" s="351"/>
      <c r="AD59" s="350">
        <v>0</v>
      </c>
      <c r="AE59" s="352"/>
      <c r="AF59" s="350">
        <v>0</v>
      </c>
      <c r="AG59" s="352"/>
      <c r="AH59" s="350">
        <v>0</v>
      </c>
      <c r="AI59" s="352"/>
      <c r="AJ59" s="353">
        <f>+AF59-AH59</f>
        <v>0</v>
      </c>
      <c r="AK59" s="352"/>
      <c r="AL59" s="350">
        <f>IF(ISERROR(AH59+AJ59),0,(AH59+AJ59))</f>
        <v>0</v>
      </c>
      <c r="AM59" s="350"/>
      <c r="AN59" s="354">
        <v>0</v>
      </c>
      <c r="AO59" s="350"/>
      <c r="AP59" s="353">
        <f>IF($F$13="YES",AF59,AN59)</f>
        <v>0</v>
      </c>
      <c r="AQ59" s="344">
        <f>ABS(SUMIF(V59:AP59,"&gt;0")-SUMIF(V59:AP59,"&lt;0"))</f>
        <v>0</v>
      </c>
      <c r="AR59" s="308"/>
      <c r="AS59" s="345"/>
    </row>
    <row r="60" spans="1:58" ht="3.95" hidden="1" customHeight="1">
      <c r="B60" s="274" t="str">
        <f>B61</f>
        <v>Hide</v>
      </c>
      <c r="E60" s="347"/>
      <c r="I60" s="360" t="str">
        <f t="shared" si="13"/>
        <v>9999999</v>
      </c>
      <c r="K60" s="278"/>
      <c r="L60" s="275"/>
      <c r="M60" s="275"/>
      <c r="N60" s="274"/>
      <c r="O60" s="275"/>
      <c r="P60" s="275"/>
      <c r="Q60" s="356"/>
      <c r="R60" s="363"/>
      <c r="S60" s="338"/>
      <c r="T60" s="339"/>
      <c r="U60" s="338"/>
      <c r="V60" s="339"/>
      <c r="W60" s="338"/>
      <c r="X60" s="339"/>
      <c r="Y60" s="338"/>
      <c r="Z60" s="339"/>
      <c r="AA60" s="338"/>
      <c r="AB60" s="350"/>
      <c r="AC60" s="351"/>
      <c r="AD60" s="350"/>
      <c r="AE60" s="352"/>
      <c r="AF60" s="350"/>
      <c r="AG60" s="352"/>
      <c r="AH60" s="350"/>
      <c r="AI60" s="352"/>
      <c r="AJ60" s="350"/>
      <c r="AK60" s="352"/>
      <c r="AL60" s="350"/>
      <c r="AM60" s="350"/>
      <c r="AN60" s="350"/>
      <c r="AO60" s="350"/>
      <c r="AP60" s="350"/>
      <c r="AQ60" s="358"/>
      <c r="AR60" s="308"/>
      <c r="AS60" s="359"/>
    </row>
    <row r="61" spans="1:58" ht="15" hidden="1" customHeight="1">
      <c r="B61" s="271" t="str">
        <f>IF(AQ61=0,"Hide","Show")</f>
        <v>Hide</v>
      </c>
      <c r="E61" s="347"/>
      <c r="I61" s="360" t="str">
        <f t="shared" si="13"/>
        <v>9999999</v>
      </c>
      <c r="K61" s="278"/>
      <c r="L61" s="275"/>
      <c r="M61" s="275"/>
      <c r="N61" s="274"/>
      <c r="O61" s="275"/>
      <c r="P61" s="275"/>
      <c r="Q61" s="356"/>
      <c r="R61" s="363" t="s">
        <v>150</v>
      </c>
      <c r="S61" s="338"/>
      <c r="T61" s="364">
        <f>SUM(T58:T60)</f>
        <v>0</v>
      </c>
      <c r="U61" s="338"/>
      <c r="V61" s="364">
        <f>SUM(V58:V60)</f>
        <v>0</v>
      </c>
      <c r="W61" s="338"/>
      <c r="X61" s="364">
        <f>SUM(X58:X60)</f>
        <v>0</v>
      </c>
      <c r="Y61" s="338"/>
      <c r="Z61" s="364">
        <f>SUM(Z58:Z60)</f>
        <v>0</v>
      </c>
      <c r="AA61" s="338"/>
      <c r="AB61" s="365">
        <f>SUM(AB58:AB60)</f>
        <v>0</v>
      </c>
      <c r="AC61" s="351"/>
      <c r="AD61" s="365">
        <f>SUM(AD58:AD60)</f>
        <v>0</v>
      </c>
      <c r="AE61" s="352"/>
      <c r="AF61" s="365">
        <f>SUM(AF58:AF60)</f>
        <v>0</v>
      </c>
      <c r="AG61" s="352"/>
      <c r="AH61" s="365">
        <f>SUM(AH58:AH60)</f>
        <v>0</v>
      </c>
      <c r="AI61" s="352"/>
      <c r="AJ61" s="365">
        <f>SUM(AJ58:AJ60)</f>
        <v>0</v>
      </c>
      <c r="AK61" s="352"/>
      <c r="AL61" s="365">
        <f>SUM(AL58:AL60)</f>
        <v>0</v>
      </c>
      <c r="AM61" s="350"/>
      <c r="AN61" s="365">
        <f>SUM(AN58:AN60)</f>
        <v>0</v>
      </c>
      <c r="AO61" s="350"/>
      <c r="AP61" s="365">
        <f>SUM(AP58:AP60)</f>
        <v>0</v>
      </c>
      <c r="AQ61" s="344">
        <f>ABS(SUMIF(V61:AP61,"&gt;0")-SUMIF(V61:AP61,"&lt;0"))</f>
        <v>0</v>
      </c>
      <c r="AR61" s="308"/>
      <c r="AS61" s="359"/>
      <c r="AU61" s="366">
        <f>SUM(T58:T60)</f>
        <v>0</v>
      </c>
      <c r="AV61" s="366">
        <f>SUM(V58:V60)</f>
        <v>0</v>
      </c>
      <c r="AW61" s="366">
        <f>SUM(X58:X60)</f>
        <v>0</v>
      </c>
      <c r="AX61" s="366">
        <f>SUM(Z58:Z60)</f>
        <v>0</v>
      </c>
      <c r="AY61" s="366">
        <f>SUM(AB58:AB60)</f>
        <v>0</v>
      </c>
      <c r="AZ61" s="366">
        <f>SUM(AD58:AD60)</f>
        <v>0</v>
      </c>
      <c r="BA61" s="366">
        <f>SUM(AF58:AF60)</f>
        <v>0</v>
      </c>
      <c r="BB61" s="366">
        <f>SUM(AH58:AH60)</f>
        <v>0</v>
      </c>
      <c r="BC61" s="366">
        <f>SUM(AJ58:AJ60)</f>
        <v>0</v>
      </c>
      <c r="BD61" s="366">
        <f>SUM(AL58:AL60)</f>
        <v>0</v>
      </c>
      <c r="BE61" s="367">
        <f>SUM(AN58:AN60)</f>
        <v>0</v>
      </c>
      <c r="BF61" s="367">
        <f>SUM(AP58:AP60)</f>
        <v>0</v>
      </c>
    </row>
    <row r="62" spans="1:58" ht="3.95" hidden="1" customHeight="1">
      <c r="B62" s="274" t="str">
        <f>B61</f>
        <v>Hide</v>
      </c>
      <c r="E62" s="347"/>
      <c r="H62" s="271"/>
      <c r="I62" s="360" t="str">
        <f t="shared" si="13"/>
        <v>9999999</v>
      </c>
      <c r="K62" s="278"/>
      <c r="L62" s="275"/>
      <c r="M62" s="275"/>
      <c r="N62" s="274"/>
      <c r="O62" s="275"/>
      <c r="P62" s="275"/>
      <c r="Q62" s="356"/>
      <c r="R62" s="338"/>
      <c r="S62" s="338"/>
      <c r="T62" s="339"/>
      <c r="U62" s="338"/>
      <c r="V62" s="339"/>
      <c r="W62" s="338"/>
      <c r="X62" s="339"/>
      <c r="Y62" s="338"/>
      <c r="Z62" s="339"/>
      <c r="AA62" s="338"/>
      <c r="AB62" s="350"/>
      <c r="AC62" s="351"/>
      <c r="AD62" s="350"/>
      <c r="AE62" s="352"/>
      <c r="AF62" s="350"/>
      <c r="AG62" s="352"/>
      <c r="AH62" s="350"/>
      <c r="AI62" s="352"/>
      <c r="AJ62" s="350"/>
      <c r="AK62" s="352"/>
      <c r="AL62" s="350"/>
      <c r="AM62" s="350"/>
      <c r="AN62" s="350"/>
      <c r="AO62" s="350"/>
      <c r="AP62" s="350"/>
      <c r="AQ62" s="358"/>
      <c r="AR62" s="308"/>
      <c r="AS62" s="359"/>
    </row>
    <row r="63" spans="1:58" ht="3.95" customHeight="1">
      <c r="B63" s="274" t="s">
        <v>62</v>
      </c>
      <c r="E63" s="347"/>
      <c r="H63" s="271"/>
      <c r="I63" s="360"/>
      <c r="K63" s="278"/>
      <c r="L63" s="275"/>
      <c r="M63" s="275"/>
      <c r="N63" s="274"/>
      <c r="O63" s="275"/>
      <c r="P63" s="275"/>
      <c r="Q63" s="356"/>
      <c r="R63" s="338"/>
      <c r="S63" s="338"/>
      <c r="T63" s="339"/>
      <c r="U63" s="338"/>
      <c r="V63" s="339"/>
      <c r="W63" s="338"/>
      <c r="X63" s="339"/>
      <c r="Y63" s="338"/>
      <c r="Z63" s="339"/>
      <c r="AA63" s="338"/>
      <c r="AB63" s="350"/>
      <c r="AC63" s="351"/>
      <c r="AD63" s="350"/>
      <c r="AE63" s="352"/>
      <c r="AF63" s="350"/>
      <c r="AG63" s="352"/>
      <c r="AH63" s="350"/>
      <c r="AI63" s="352"/>
      <c r="AJ63" s="350"/>
      <c r="AK63" s="352"/>
      <c r="AL63" s="350"/>
      <c r="AM63" s="350"/>
      <c r="AN63" s="350"/>
      <c r="AO63" s="350"/>
      <c r="AP63" s="350"/>
      <c r="AQ63" s="358"/>
      <c r="AR63" s="308"/>
      <c r="AS63" s="359"/>
    </row>
    <row r="64" spans="1:58" ht="15" customHeight="1">
      <c r="B64" s="274" t="s">
        <v>62</v>
      </c>
      <c r="E64" s="347"/>
      <c r="H64" s="271"/>
      <c r="K64" s="278"/>
      <c r="L64" s="275"/>
      <c r="M64" s="275"/>
      <c r="O64" s="283"/>
      <c r="P64" s="283"/>
      <c r="Q64" s="356"/>
      <c r="R64" s="368" t="str">
        <f>IF(AND($F$22&gt;"399",$F$22&lt;"500"),"TOTAL OPERATING REVENUES","TOTAL REVENUES")</f>
        <v>TOTAL REVENUES</v>
      </c>
      <c r="S64" s="369"/>
      <c r="T64" s="370">
        <f>SUM(T37:T55)+SUM(AU59:AU63)</f>
        <v>1190761</v>
      </c>
      <c r="U64" s="369"/>
      <c r="V64" s="370">
        <f>SUM(V37:V55)+SUM(AV59:AV63)</f>
        <v>0</v>
      </c>
      <c r="W64" s="371"/>
      <c r="X64" s="370">
        <f>SUM(X37:X55)+SUM(AW59:AW63)</f>
        <v>0</v>
      </c>
      <c r="Y64" s="371"/>
      <c r="Z64" s="370">
        <f>SUM(Z37:Z55)+SUM(AX59:AX63)</f>
        <v>0</v>
      </c>
      <c r="AA64" s="371"/>
      <c r="AB64" s="372">
        <f>SUM(AB37:AB55)+SUM(AY59:AY63)</f>
        <v>1771837</v>
      </c>
      <c r="AC64" s="373"/>
      <c r="AD64" s="372">
        <f>SUM(AD37:AD55)+SUM(AZ59:AZ63)</f>
        <v>0</v>
      </c>
      <c r="AE64" s="374"/>
      <c r="AF64" s="372">
        <f>SUM(AF37:AF55)+SUM(BA59:BA63)</f>
        <v>1874116</v>
      </c>
      <c r="AG64" s="374"/>
      <c r="AH64" s="372">
        <f>SUM(AH37:AH55)+SUM(BB59:BB63)</f>
        <v>1608250</v>
      </c>
      <c r="AI64" s="374"/>
      <c r="AJ64" s="372">
        <f>SUM(AJ37:AJ55)+SUM(BC59:BC63)</f>
        <v>299037</v>
      </c>
      <c r="AK64" s="374"/>
      <c r="AL64" s="372">
        <f>SUM(AL37:AL55)+SUM(BD59:BD63)</f>
        <v>1907287</v>
      </c>
      <c r="AM64" s="372"/>
      <c r="AN64" s="372">
        <f>SUM(AN37:AN55)+SUM(BE59:BE63)</f>
        <v>0</v>
      </c>
      <c r="AO64" s="372"/>
      <c r="AP64" s="375">
        <f ca="1">ROUND(SUM(AP37:AP55)+SUM(BF59:BF63),0)</f>
        <v>1882797</v>
      </c>
      <c r="AQ64" s="344">
        <f ca="1">ABS(SUMIF(V64:AP64,"&gt;0")-SUMIF(V64:AP64,"&lt;0"))</f>
        <v>9343324</v>
      </c>
      <c r="AR64" s="308"/>
      <c r="AS64" s="359"/>
    </row>
    <row r="65" spans="1:48" ht="15.6" customHeight="1">
      <c r="B65" s="271" t="s">
        <v>62</v>
      </c>
      <c r="E65" s="376"/>
      <c r="F65" s="271"/>
      <c r="G65" s="271"/>
      <c r="H65" s="271"/>
      <c r="K65" s="377"/>
      <c r="L65" s="280"/>
      <c r="M65" s="280"/>
      <c r="O65" s="280"/>
      <c r="P65" s="280"/>
      <c r="Q65" s="320"/>
      <c r="R65" s="378" t="s">
        <v>333</v>
      </c>
      <c r="S65" s="379"/>
      <c r="T65" s="380"/>
      <c r="U65" s="379"/>
      <c r="V65" s="380"/>
      <c r="W65" s="379"/>
      <c r="X65" s="380"/>
      <c r="Y65" s="379"/>
      <c r="Z65" s="380"/>
      <c r="AA65" s="379"/>
      <c r="AB65" s="381"/>
      <c r="AC65" s="382"/>
      <c r="AD65" s="381"/>
      <c r="AE65" s="383"/>
      <c r="AF65" s="381"/>
      <c r="AG65" s="383"/>
      <c r="AH65" s="381"/>
      <c r="AI65" s="383"/>
      <c r="AJ65" s="381"/>
      <c r="AK65" s="383"/>
      <c r="AL65" s="384">
        <f>AL64-AF64</f>
        <v>33171</v>
      </c>
      <c r="AM65" s="381"/>
      <c r="AN65" s="381"/>
      <c r="AO65" s="381"/>
      <c r="AP65" s="381"/>
      <c r="AQ65" s="380"/>
      <c r="AR65" s="308"/>
      <c r="AS65" s="385" t="s">
        <v>334</v>
      </c>
    </row>
    <row r="66" spans="1:48" ht="15" hidden="1" customHeight="1">
      <c r="B66" s="274" t="str">
        <f>IF(AQ70=0,"Hide","Show")</f>
        <v>Hide</v>
      </c>
      <c r="E66" s="336">
        <f>IF(OR($F$22=0,VALUE($F$22)&lt;=399,VALUE($F$22)&gt;499,$F$14="NO"),0,"552099..552199")</f>
        <v>0</v>
      </c>
      <c r="F66" s="300"/>
      <c r="K66" s="278"/>
      <c r="L66" s="275"/>
      <c r="M66" s="275"/>
      <c r="O66" s="283"/>
      <c r="P66" s="283"/>
      <c r="Q66" s="356"/>
      <c r="R66" s="334" t="s">
        <v>335</v>
      </c>
      <c r="S66" s="338"/>
      <c r="T66" s="339"/>
      <c r="U66" s="338"/>
      <c r="V66" s="339"/>
      <c r="W66" s="338"/>
      <c r="X66" s="339"/>
      <c r="Y66" s="338"/>
      <c r="Z66" s="339"/>
      <c r="AA66" s="338"/>
      <c r="AB66" s="350"/>
      <c r="AC66" s="351"/>
      <c r="AD66" s="350"/>
      <c r="AE66" s="386"/>
      <c r="AF66" s="350"/>
      <c r="AG66" s="386"/>
      <c r="AH66" s="350"/>
      <c r="AI66" s="386"/>
      <c r="AJ66" s="350"/>
      <c r="AK66" s="386"/>
      <c r="AL66" s="350"/>
      <c r="AM66" s="350"/>
      <c r="AN66" s="350"/>
      <c r="AO66" s="350"/>
      <c r="AP66" s="350"/>
      <c r="AQ66" s="339"/>
      <c r="AR66" s="308"/>
      <c r="AS66" s="359"/>
    </row>
    <row r="67" spans="1:48" ht="0.95" hidden="1" customHeight="1">
      <c r="B67" s="274" t="s">
        <v>31</v>
      </c>
      <c r="E67" s="347"/>
      <c r="K67" s="278"/>
      <c r="L67" s="275"/>
      <c r="M67" s="275"/>
      <c r="O67" s="283"/>
      <c r="P67" s="283"/>
      <c r="Q67" s="356"/>
      <c r="R67" s="338"/>
      <c r="S67" s="338"/>
      <c r="T67" s="339"/>
      <c r="U67" s="338"/>
      <c r="V67" s="339"/>
      <c r="W67" s="338"/>
      <c r="X67" s="339"/>
      <c r="Y67" s="338"/>
      <c r="Z67" s="339"/>
      <c r="AA67" s="338"/>
      <c r="AB67" s="350"/>
      <c r="AC67" s="351"/>
      <c r="AD67" s="350"/>
      <c r="AE67" s="386"/>
      <c r="AF67" s="350"/>
      <c r="AG67" s="386"/>
      <c r="AH67" s="350"/>
      <c r="AI67" s="386"/>
      <c r="AJ67" s="350"/>
      <c r="AK67" s="386"/>
      <c r="AL67" s="350"/>
      <c r="AM67" s="350"/>
      <c r="AN67" s="350"/>
      <c r="AO67" s="350"/>
      <c r="AP67" s="350"/>
      <c r="AQ67" s="339"/>
      <c r="AR67" s="308"/>
      <c r="AS67" s="359"/>
    </row>
    <row r="68" spans="1:48" ht="15.6" hidden="1" customHeight="1">
      <c r="A68" s="271" t="s">
        <v>236</v>
      </c>
      <c r="B68" s="271" t="str">
        <f>IF(AQ68=0,"Hide","Show")</f>
        <v>Hide</v>
      </c>
      <c r="E68" s="347"/>
      <c r="K68" s="337"/>
      <c r="L68" s="275" t="str">
        <f>$F$22</f>
        <v>001</v>
      </c>
      <c r="M68" s="275" t="str">
        <f>$J$7</f>
        <v>10/1/2016..9/30/2017</v>
      </c>
      <c r="N68" s="274" t="str">
        <f>$D$6</f>
        <v>HARMONY CDD</v>
      </c>
      <c r="O68" s="387" t="str">
        <f>IF(K68="","500000 50000",K68&amp;" "&amp;"50000")</f>
        <v>500000 50000</v>
      </c>
      <c r="P68" s="275">
        <f>K68</f>
        <v>0</v>
      </c>
      <c r="Q68" s="356"/>
      <c r="R68" s="338"/>
      <c r="S68" s="338"/>
      <c r="T68" s="388">
        <v>0</v>
      </c>
      <c r="U68" s="389"/>
      <c r="V68" s="388">
        <v>0</v>
      </c>
      <c r="W68" s="389"/>
      <c r="X68" s="388">
        <v>0</v>
      </c>
      <c r="Y68" s="389"/>
      <c r="Z68" s="388">
        <v>0</v>
      </c>
      <c r="AA68" s="389"/>
      <c r="AB68" s="354">
        <v>0</v>
      </c>
      <c r="AC68" s="390"/>
      <c r="AD68" s="354">
        <v>0</v>
      </c>
      <c r="AE68" s="354"/>
      <c r="AF68" s="354">
        <v>0</v>
      </c>
      <c r="AG68" s="354"/>
      <c r="AH68" s="354">
        <v>0</v>
      </c>
      <c r="AI68" s="354"/>
      <c r="AJ68" s="391">
        <v>0</v>
      </c>
      <c r="AK68" s="354"/>
      <c r="AL68" s="350">
        <f>IF(ISERROR(AH68+AJ68),0,(AH68+AJ68))</f>
        <v>0</v>
      </c>
      <c r="AM68" s="354"/>
      <c r="AN68" s="354">
        <v>0</v>
      </c>
      <c r="AO68" s="354"/>
      <c r="AP68" s="391">
        <f>IF($F$13="YES",AF68,AN68)</f>
        <v>0</v>
      </c>
      <c r="AQ68" s="344">
        <f>ABS(SUMIF(V68:AP68,"&gt;0")-SUMIF(V68:AP68,"&lt;0"))</f>
        <v>0</v>
      </c>
      <c r="AR68" s="308"/>
      <c r="AS68" s="345"/>
    </row>
    <row r="69" spans="1:48" ht="3.95" hidden="1" customHeight="1">
      <c r="B69" s="274" t="s">
        <v>31</v>
      </c>
      <c r="E69" s="347"/>
      <c r="K69" s="278"/>
      <c r="L69" s="275"/>
      <c r="M69" s="275"/>
      <c r="O69" s="283"/>
      <c r="P69" s="283"/>
      <c r="Q69" s="356"/>
      <c r="R69" s="338"/>
      <c r="S69" s="338"/>
      <c r="T69" s="339"/>
      <c r="U69" s="338"/>
      <c r="V69" s="339"/>
      <c r="W69" s="338"/>
      <c r="X69" s="339"/>
      <c r="Y69" s="338"/>
      <c r="Z69" s="339"/>
      <c r="AA69" s="338"/>
      <c r="AB69" s="350"/>
      <c r="AC69" s="351"/>
      <c r="AD69" s="350"/>
      <c r="AE69" s="386"/>
      <c r="AF69" s="350"/>
      <c r="AG69" s="386"/>
      <c r="AH69" s="350"/>
      <c r="AI69" s="386"/>
      <c r="AJ69" s="350"/>
      <c r="AK69" s="386"/>
      <c r="AL69" s="350"/>
      <c r="AM69" s="350"/>
      <c r="AN69" s="350"/>
      <c r="AO69" s="350"/>
      <c r="AP69" s="350"/>
      <c r="AQ69" s="339"/>
      <c r="AR69" s="308"/>
      <c r="AS69" s="359"/>
    </row>
    <row r="70" spans="1:48" ht="15.6" hidden="1" customHeight="1">
      <c r="B70" s="271" t="str">
        <f>IF(AQ70=0,"Hide","Show")</f>
        <v>Hide</v>
      </c>
      <c r="E70" s="347"/>
      <c r="K70" s="278"/>
      <c r="L70" s="275"/>
      <c r="M70" s="275"/>
      <c r="O70" s="283"/>
      <c r="P70" s="283"/>
      <c r="Q70" s="356"/>
      <c r="R70" s="392" t="str">
        <f>IF(AND($F$22&gt;"399",$F$22&lt;"500",$F$14="yes"),"Total Cost of Goods Sold","")</f>
        <v/>
      </c>
      <c r="S70" s="338"/>
      <c r="T70" s="393">
        <f>SUM(T67:T69)</f>
        <v>0</v>
      </c>
      <c r="U70" s="338"/>
      <c r="V70" s="393">
        <f>SUM(V67:V69)</f>
        <v>0</v>
      </c>
      <c r="W70" s="338"/>
      <c r="X70" s="393">
        <f>SUM(X67:X69)</f>
        <v>0</v>
      </c>
      <c r="Y70" s="338"/>
      <c r="Z70" s="393">
        <f>SUM(Z67:Z69)</f>
        <v>0</v>
      </c>
      <c r="AA70" s="338"/>
      <c r="AB70" s="394">
        <f>SUM(AB67:AB69)</f>
        <v>0</v>
      </c>
      <c r="AC70" s="351"/>
      <c r="AD70" s="394">
        <f>SUM(AD67:AD69)</f>
        <v>0</v>
      </c>
      <c r="AE70" s="386"/>
      <c r="AF70" s="394">
        <f>SUM(AF67:AF69)</f>
        <v>0</v>
      </c>
      <c r="AG70" s="386"/>
      <c r="AH70" s="394">
        <f>SUM(AH67:AH69)</f>
        <v>0</v>
      </c>
      <c r="AI70" s="386"/>
      <c r="AJ70" s="394">
        <f>SUM(AJ67:AJ69)</f>
        <v>0</v>
      </c>
      <c r="AK70" s="386"/>
      <c r="AL70" s="394">
        <f>SUM(AL67:AL69)</f>
        <v>0</v>
      </c>
      <c r="AM70" s="350"/>
      <c r="AN70" s="394">
        <f>SUM(AN67:AN69)</f>
        <v>0</v>
      </c>
      <c r="AO70" s="350"/>
      <c r="AP70" s="394">
        <f>SUM(AP67:AP69)</f>
        <v>0</v>
      </c>
      <c r="AQ70" s="344">
        <f>ABS(SUMIF(V70:AP70,"&gt;0")-SUMIF(V70:AP70,"&lt;0"))</f>
        <v>0</v>
      </c>
      <c r="AR70" s="308"/>
      <c r="AS70" s="359"/>
    </row>
    <row r="71" spans="1:48" ht="8.1" hidden="1" customHeight="1">
      <c r="B71" s="274" t="str">
        <f t="shared" ref="B71:B73" si="14">B70</f>
        <v>Hide</v>
      </c>
      <c r="E71" s="347"/>
      <c r="K71" s="278"/>
      <c r="L71" s="275"/>
      <c r="M71" s="275"/>
      <c r="O71" s="283"/>
      <c r="P71" s="283"/>
      <c r="Q71" s="356"/>
      <c r="R71" s="338"/>
      <c r="S71" s="338"/>
      <c r="T71" s="339"/>
      <c r="U71" s="338"/>
      <c r="V71" s="339"/>
      <c r="W71" s="338"/>
      <c r="X71" s="339"/>
      <c r="Y71" s="338"/>
      <c r="Z71" s="339"/>
      <c r="AA71" s="338"/>
      <c r="AB71" s="350"/>
      <c r="AC71" s="351"/>
      <c r="AD71" s="350"/>
      <c r="AE71" s="386"/>
      <c r="AF71" s="350"/>
      <c r="AG71" s="386"/>
      <c r="AH71" s="350"/>
      <c r="AI71" s="386"/>
      <c r="AJ71" s="350"/>
      <c r="AK71" s="386"/>
      <c r="AL71" s="350"/>
      <c r="AM71" s="350"/>
      <c r="AN71" s="350"/>
      <c r="AO71" s="350"/>
      <c r="AP71" s="350"/>
      <c r="AQ71" s="339"/>
      <c r="AR71" s="308"/>
      <c r="AS71" s="359"/>
    </row>
    <row r="72" spans="1:48" ht="15.95" hidden="1" customHeight="1">
      <c r="B72" s="274" t="str">
        <f t="shared" si="14"/>
        <v>Hide</v>
      </c>
      <c r="E72" s="347"/>
      <c r="K72" s="278"/>
      <c r="L72" s="275"/>
      <c r="M72" s="275"/>
      <c r="O72" s="283"/>
      <c r="P72" s="283"/>
      <c r="Q72" s="356"/>
      <c r="R72" s="368" t="str">
        <f>IF(AND($F$22&gt;"399",$F$22&lt;"500",$F$14="yes"),"GROSS PROFIT","")</f>
        <v/>
      </c>
      <c r="S72" s="369"/>
      <c r="T72" s="370">
        <f>IF(OR(VALUE($F$22)&lt;=399,VALUE($F$22)&gt;499,$F$14="NO"),0,T64-T70)</f>
        <v>0</v>
      </c>
      <c r="U72" s="369"/>
      <c r="V72" s="370">
        <f>IF(OR(VALUE($F$22)&lt;=399,VALUE($F$22)&gt;499,$F$14="NO"),0,V64-V70)</f>
        <v>0</v>
      </c>
      <c r="W72" s="371"/>
      <c r="X72" s="370">
        <f>IF(OR(VALUE($F$22)&lt;=399,VALUE($F$22)&gt;499,$F$14="NO"),0,X64-X70)</f>
        <v>0</v>
      </c>
      <c r="Y72" s="371"/>
      <c r="Z72" s="370">
        <f>IF(OR(VALUE($F$22)&lt;=399,VALUE($F$22)&gt;499,$F$14="NO"),0,Z64-Z70)</f>
        <v>0</v>
      </c>
      <c r="AA72" s="371"/>
      <c r="AB72" s="372">
        <f>IF(OR(VALUE($F$22)&lt;=399,VALUE($F$22)&gt;499,$F$14="NO"),0,AB64-AB70)</f>
        <v>0</v>
      </c>
      <c r="AC72" s="373"/>
      <c r="AD72" s="372">
        <f>IF(OR(VALUE($F$22)&lt;=399,VALUE($F$22)&gt;499,$F$14="NO"),0,AD64-AD70)</f>
        <v>0</v>
      </c>
      <c r="AE72" s="374"/>
      <c r="AF72" s="372">
        <f>IF(OR(VALUE($F$22)&lt;=399,VALUE($F$22)&gt;499,$F$14="NO"),0,AF64-AF70)</f>
        <v>0</v>
      </c>
      <c r="AG72" s="374"/>
      <c r="AH72" s="372">
        <f>IF(OR(VALUE($F$22)&lt;=399,VALUE($F$22)&gt;499,$F$14="NO"),0,AH64-AH70)</f>
        <v>0</v>
      </c>
      <c r="AI72" s="374"/>
      <c r="AJ72" s="372">
        <f>IF(OR(VALUE($F$22)&lt;=399,VALUE($F$22)&gt;499,$F$14="NO"),0,AJ64-AJ70)</f>
        <v>0</v>
      </c>
      <c r="AK72" s="374"/>
      <c r="AL72" s="372">
        <f>IF(OR(VALUE($F$22)&lt;=399,VALUE($F$22)&gt;499,$F$14="NO"),0,AL64-AL70)</f>
        <v>0</v>
      </c>
      <c r="AM72" s="372"/>
      <c r="AN72" s="372">
        <f>IF(OR(VALUE($F$22)&lt;=399,VALUE($F$22)&gt;499,$F$14="NO"),0,AN64-AN70)</f>
        <v>0</v>
      </c>
      <c r="AO72" s="372"/>
      <c r="AP72" s="375">
        <f>IF(OR(VALUE($F$22)&lt;=399,VALUE($F$22)&gt;499,$F$14="NO"),0,AP64-AP70)</f>
        <v>0</v>
      </c>
      <c r="AQ72" s="344">
        <f>ABS(SUMIF(V72:AP72,"&gt;0")-SUMIF(V72:AP72,"&lt;0"))</f>
        <v>0</v>
      </c>
      <c r="AR72" s="308"/>
      <c r="AS72" s="359"/>
    </row>
    <row r="73" spans="1:48" ht="9.9499999999999993" customHeight="1">
      <c r="B73" s="274" t="str">
        <f t="shared" si="14"/>
        <v>Hide</v>
      </c>
      <c r="E73" s="347"/>
      <c r="K73" s="278"/>
      <c r="L73" s="275"/>
      <c r="M73" s="275"/>
      <c r="O73" s="283"/>
      <c r="P73" s="283"/>
      <c r="Q73" s="356"/>
      <c r="R73" s="338"/>
      <c r="S73" s="338"/>
      <c r="T73" s="339"/>
      <c r="U73" s="338"/>
      <c r="V73" s="339"/>
      <c r="W73" s="338"/>
      <c r="X73" s="339"/>
      <c r="Y73" s="338"/>
      <c r="Z73" s="339"/>
      <c r="AA73" s="338"/>
      <c r="AB73" s="350"/>
      <c r="AC73" s="351"/>
      <c r="AD73" s="350"/>
      <c r="AE73" s="386"/>
      <c r="AF73" s="350"/>
      <c r="AG73" s="386"/>
      <c r="AH73" s="350"/>
      <c r="AI73" s="386"/>
      <c r="AJ73" s="350"/>
      <c r="AK73" s="386"/>
      <c r="AL73" s="350"/>
      <c r="AM73" s="350"/>
      <c r="AN73" s="350"/>
      <c r="AO73" s="350"/>
      <c r="AP73" s="350"/>
      <c r="AQ73" s="339"/>
      <c r="AR73" s="308"/>
      <c r="AS73" s="359"/>
    </row>
    <row r="74" spans="1:48" ht="15" customHeight="1">
      <c r="B74" s="274" t="s">
        <v>62</v>
      </c>
      <c r="E74" s="347"/>
      <c r="K74" s="278"/>
      <c r="L74" s="275"/>
      <c r="M74" s="275"/>
      <c r="O74" s="283"/>
      <c r="P74" s="283"/>
      <c r="Q74" s="356"/>
      <c r="R74" s="334" t="str">
        <f>IF(AND($F$22&gt;"399",$F$22&lt;"500"),"OPERATING EXPENSES","EXPENDITURES")</f>
        <v>EXPENDITURES</v>
      </c>
      <c r="S74" s="338"/>
      <c r="T74" s="339"/>
      <c r="U74" s="338"/>
      <c r="V74" s="339"/>
      <c r="W74" s="338"/>
      <c r="X74" s="339"/>
      <c r="Y74" s="338"/>
      <c r="Z74" s="339"/>
      <c r="AA74" s="338"/>
      <c r="AB74" s="350"/>
      <c r="AC74" s="351"/>
      <c r="AD74" s="350"/>
      <c r="AE74" s="352"/>
      <c r="AF74" s="350"/>
      <c r="AG74" s="352"/>
      <c r="AH74" s="350"/>
      <c r="AI74" s="352"/>
      <c r="AJ74" s="350"/>
      <c r="AK74" s="352"/>
      <c r="AL74" s="350"/>
      <c r="AM74" s="350"/>
      <c r="AN74" s="350"/>
      <c r="AO74" s="350"/>
      <c r="AP74" s="350"/>
      <c r="AQ74" s="358"/>
      <c r="AR74" s="308"/>
      <c r="AS74" s="359"/>
    </row>
    <row r="75" spans="1:48" ht="3.95" customHeight="1">
      <c r="B75" s="274" t="s">
        <v>62</v>
      </c>
      <c r="E75" s="347"/>
      <c r="K75" s="278"/>
      <c r="L75" s="275"/>
      <c r="M75" s="275"/>
      <c r="O75" s="283"/>
      <c r="P75" s="283"/>
      <c r="Q75" s="356"/>
      <c r="R75" s="334"/>
      <c r="S75" s="338"/>
      <c r="T75" s="339"/>
      <c r="U75" s="338"/>
      <c r="V75" s="339"/>
      <c r="W75" s="338"/>
      <c r="X75" s="339"/>
      <c r="Y75" s="338"/>
      <c r="Z75" s="339"/>
      <c r="AA75" s="338"/>
      <c r="AB75" s="350"/>
      <c r="AC75" s="351"/>
      <c r="AD75" s="350"/>
      <c r="AE75" s="352"/>
      <c r="AF75" s="350"/>
      <c r="AG75" s="352"/>
      <c r="AH75" s="350"/>
      <c r="AI75" s="352"/>
      <c r="AJ75" s="350"/>
      <c r="AK75" s="352"/>
      <c r="AL75" s="350"/>
      <c r="AM75" s="350"/>
      <c r="AN75" s="350"/>
      <c r="AO75" s="350"/>
      <c r="AP75" s="350"/>
      <c r="AQ75" s="358"/>
      <c r="AR75" s="308"/>
      <c r="AS75" s="359"/>
    </row>
    <row r="76" spans="1:48" ht="15" customHeight="1">
      <c r="B76" s="274" t="str">
        <f ca="1">B103</f>
        <v>Show</v>
      </c>
      <c r="E76" s="347"/>
      <c r="F76" s="347"/>
      <c r="G76" s="347"/>
      <c r="K76" s="278"/>
      <c r="L76" s="275"/>
      <c r="M76" s="275"/>
      <c r="O76" s="283"/>
      <c r="P76" s="283"/>
      <c r="Q76" s="356"/>
      <c r="R76" s="395" t="str">
        <f>IF(AND($F$22&gt;"399",$F$22&lt;"500"),"Personnel and Administration","Administrative")</f>
        <v>Administrative</v>
      </c>
      <c r="S76" s="338"/>
      <c r="T76" s="339"/>
      <c r="U76" s="338"/>
      <c r="V76" s="339"/>
      <c r="W76" s="338"/>
      <c r="X76" s="339"/>
      <c r="Y76" s="338"/>
      <c r="Z76" s="339"/>
      <c r="AA76" s="338"/>
      <c r="AB76" s="350"/>
      <c r="AC76" s="351"/>
      <c r="AD76" s="350"/>
      <c r="AE76" s="352"/>
      <c r="AF76" s="350"/>
      <c r="AG76" s="352"/>
      <c r="AH76" s="350"/>
      <c r="AI76" s="352"/>
      <c r="AJ76" s="350"/>
      <c r="AK76" s="352"/>
      <c r="AL76" s="350"/>
      <c r="AM76" s="350"/>
      <c r="AN76" s="350"/>
      <c r="AO76" s="350"/>
      <c r="AP76" s="350"/>
      <c r="AQ76" s="358"/>
      <c r="AR76" s="308"/>
      <c r="AS76" s="359"/>
    </row>
    <row r="77" spans="1:48" ht="15.95" hidden="1" customHeight="1">
      <c r="B77" s="271" t="s">
        <v>31</v>
      </c>
      <c r="E77" s="336" t="str">
        <f>IF($F$22=0,0,IF(OR($F$14="No",VALUE($F$22)&lt;=399,VALUE($F$22)&gt;499),"500000..564999|566000..579999","500000..552098|552200..564999|566000..579999"))</f>
        <v>500000..564999|566000..579999</v>
      </c>
      <c r="F77" s="336"/>
      <c r="G77" s="347"/>
      <c r="H77" s="360" t="s">
        <v>336</v>
      </c>
      <c r="K77" s="278"/>
      <c r="L77" s="275"/>
      <c r="M77" s="275"/>
      <c r="O77" s="283"/>
      <c r="P77" s="283"/>
      <c r="Q77" s="356"/>
      <c r="R77" s="396"/>
      <c r="S77" s="338"/>
      <c r="T77" s="339"/>
      <c r="U77" s="338"/>
      <c r="V77" s="339"/>
      <c r="W77" s="338"/>
      <c r="X77" s="339"/>
      <c r="Y77" s="338"/>
      <c r="Z77" s="339"/>
      <c r="AA77" s="338"/>
      <c r="AB77" s="350"/>
      <c r="AC77" s="351"/>
      <c r="AD77" s="350"/>
      <c r="AE77" s="352"/>
      <c r="AF77" s="350"/>
      <c r="AG77" s="352"/>
      <c r="AH77" s="350"/>
      <c r="AI77" s="352"/>
      <c r="AJ77" s="350"/>
      <c r="AK77" s="352"/>
      <c r="AL77" s="350"/>
      <c r="AM77" s="350"/>
      <c r="AN77" s="350"/>
      <c r="AO77" s="350"/>
      <c r="AP77" s="350"/>
      <c r="AQ77" s="358"/>
      <c r="AR77" s="308"/>
      <c r="AS77" s="359"/>
    </row>
    <row r="78" spans="1:48" ht="15.6" customHeight="1">
      <c r="A78" s="271" t="s">
        <v>236</v>
      </c>
      <c r="B78" s="271" t="str">
        <f t="shared" ref="B78:B101" si="15">IF(AQ78=0,"Hide","Show")</f>
        <v>Show</v>
      </c>
      <c r="K78" s="337" t="s">
        <v>337</v>
      </c>
      <c r="L78" s="275" t="str">
        <f t="shared" ref="L78:L101" si="16">$F$22</f>
        <v>001</v>
      </c>
      <c r="M78" s="275" t="str">
        <f t="shared" ref="M78:M101" si="17">$J$7</f>
        <v>10/1/2016..9/30/2017</v>
      </c>
      <c r="N78" s="274" t="str">
        <f t="shared" ref="N78:N101" si="18">$D$6</f>
        <v>HARMONY CDD</v>
      </c>
      <c r="O78" s="387" t="str">
        <f t="shared" ref="O78:O101" si="19">IF(K78="","500000 51699",K78&amp;" "&amp;"51699")</f>
        <v>511001 51699</v>
      </c>
      <c r="P78" s="283" t="str">
        <f t="shared" ref="P78:P101" si="20">K78</f>
        <v>511001</v>
      </c>
      <c r="Q78" s="283"/>
      <c r="R78" s="389" t="s">
        <v>338</v>
      </c>
      <c r="S78" s="389"/>
      <c r="T78" s="388">
        <v>4800</v>
      </c>
      <c r="U78" s="338"/>
      <c r="V78" s="388">
        <v>0</v>
      </c>
      <c r="W78" s="338"/>
      <c r="X78" s="388">
        <v>0</v>
      </c>
      <c r="Y78" s="338"/>
      <c r="Z78" s="388">
        <v>0</v>
      </c>
      <c r="AA78" s="338"/>
      <c r="AB78" s="354">
        <v>11800</v>
      </c>
      <c r="AC78" s="351"/>
      <c r="AD78" s="354">
        <v>0</v>
      </c>
      <c r="AE78" s="354"/>
      <c r="AF78" s="354">
        <v>11200</v>
      </c>
      <c r="AG78" s="354"/>
      <c r="AH78" s="354">
        <v>7200</v>
      </c>
      <c r="AI78" s="354"/>
      <c r="AJ78" s="391">
        <f>+AF78-AH78</f>
        <v>4000</v>
      </c>
      <c r="AK78" s="354"/>
      <c r="AL78" s="350">
        <f t="shared" ref="AL78:AL101" si="21">IF(ISERROR(AH78+AJ78),0,(AH78+AJ78))</f>
        <v>11200</v>
      </c>
      <c r="AM78" s="354"/>
      <c r="AN78" s="354">
        <v>0</v>
      </c>
      <c r="AO78" s="354"/>
      <c r="AP78" s="391">
        <f>800*14</f>
        <v>11200</v>
      </c>
      <c r="AQ78" s="344">
        <f t="shared" ref="AQ78:AQ101" si="22">ABS(SUMIF(V78:AP78,"&gt;0")-SUMIF(V78:AP78,"&lt;0"))</f>
        <v>56600</v>
      </c>
      <c r="AR78" s="397"/>
      <c r="AS78" s="345"/>
      <c r="AV78" s="346"/>
    </row>
    <row r="79" spans="1:48" ht="15.6" customHeight="1">
      <c r="A79" s="271" t="s">
        <v>311</v>
      </c>
      <c r="B79" s="271" t="str">
        <f t="shared" si="15"/>
        <v>Show</v>
      </c>
      <c r="K79" s="337" t="str">
        <f>"521001"</f>
        <v>521001</v>
      </c>
      <c r="L79" s="275" t="str">
        <f t="shared" si="16"/>
        <v>001</v>
      </c>
      <c r="M79" s="275" t="str">
        <f t="shared" si="17"/>
        <v>10/1/2016..9/30/2017</v>
      </c>
      <c r="N79" s="274" t="str">
        <f t="shared" si="18"/>
        <v>HARMONY CDD</v>
      </c>
      <c r="O79" s="387" t="str">
        <f t="shared" si="19"/>
        <v>521001 51699</v>
      </c>
      <c r="P79" s="283" t="str">
        <f t="shared" si="20"/>
        <v>521001</v>
      </c>
      <c r="Q79" s="283"/>
      <c r="R79" s="389" t="s">
        <v>339</v>
      </c>
      <c r="S79" s="389"/>
      <c r="T79" s="388">
        <v>367</v>
      </c>
      <c r="U79" s="338"/>
      <c r="V79" s="388">
        <v>0</v>
      </c>
      <c r="W79" s="338"/>
      <c r="X79" s="388">
        <v>0</v>
      </c>
      <c r="Y79" s="338"/>
      <c r="Z79" s="388">
        <v>0</v>
      </c>
      <c r="AA79" s="338"/>
      <c r="AB79" s="354">
        <v>903</v>
      </c>
      <c r="AC79" s="351"/>
      <c r="AD79" s="354">
        <v>0</v>
      </c>
      <c r="AE79" s="354"/>
      <c r="AF79" s="354">
        <v>857</v>
      </c>
      <c r="AG79" s="354"/>
      <c r="AH79" s="354">
        <v>551</v>
      </c>
      <c r="AI79" s="354"/>
      <c r="AJ79" s="391">
        <f>+AJ78*0.0765</f>
        <v>306</v>
      </c>
      <c r="AK79" s="354"/>
      <c r="AL79" s="350">
        <f t="shared" si="21"/>
        <v>857</v>
      </c>
      <c r="AM79" s="354"/>
      <c r="AN79" s="354">
        <v>0</v>
      </c>
      <c r="AO79" s="354"/>
      <c r="AP79" s="391">
        <f>ROUND(+AP78*0.0765,0)</f>
        <v>857</v>
      </c>
      <c r="AQ79" s="344">
        <f t="shared" si="22"/>
        <v>4331</v>
      </c>
      <c r="AR79" s="397"/>
      <c r="AS79" s="398"/>
      <c r="AV79" s="346"/>
    </row>
    <row r="80" spans="1:48" ht="15.6" customHeight="1">
      <c r="A80" s="271" t="s">
        <v>311</v>
      </c>
      <c r="B80" s="271" t="str">
        <f t="shared" si="15"/>
        <v>Show</v>
      </c>
      <c r="K80" s="337" t="str">
        <f>"531002"</f>
        <v>531002</v>
      </c>
      <c r="L80" s="275" t="str">
        <f t="shared" si="16"/>
        <v>001</v>
      </c>
      <c r="M80" s="275" t="str">
        <f t="shared" si="17"/>
        <v>10/1/2016..9/30/2017</v>
      </c>
      <c r="N80" s="274" t="str">
        <f t="shared" si="18"/>
        <v>HARMONY CDD</v>
      </c>
      <c r="O80" s="387" t="str">
        <f t="shared" si="19"/>
        <v>531002 51699</v>
      </c>
      <c r="P80" s="283" t="str">
        <f t="shared" si="20"/>
        <v>531002</v>
      </c>
      <c r="Q80" s="283"/>
      <c r="R80" s="389" t="s">
        <v>340</v>
      </c>
      <c r="S80" s="389"/>
      <c r="T80" s="388">
        <v>600</v>
      </c>
      <c r="U80" s="338"/>
      <c r="V80" s="388">
        <v>0</v>
      </c>
      <c r="W80" s="338"/>
      <c r="X80" s="388">
        <v>0</v>
      </c>
      <c r="Y80" s="338"/>
      <c r="Z80" s="388">
        <v>0</v>
      </c>
      <c r="AA80" s="338"/>
      <c r="AB80" s="354">
        <v>1800</v>
      </c>
      <c r="AC80" s="351"/>
      <c r="AD80" s="354">
        <v>0</v>
      </c>
      <c r="AE80" s="354"/>
      <c r="AF80" s="354">
        <v>1200</v>
      </c>
      <c r="AG80" s="354"/>
      <c r="AH80" s="354">
        <v>600</v>
      </c>
      <c r="AI80" s="354"/>
      <c r="AJ80" s="391">
        <f t="shared" ref="AJ80:AJ82" si="23">+AF80-AH80</f>
        <v>600</v>
      </c>
      <c r="AK80" s="354"/>
      <c r="AL80" s="350">
        <f t="shared" si="21"/>
        <v>1200</v>
      </c>
      <c r="AM80" s="354"/>
      <c r="AN80" s="354">
        <v>0</v>
      </c>
      <c r="AO80" s="354"/>
      <c r="AP80" s="391">
        <f>600*2</f>
        <v>1200</v>
      </c>
      <c r="AQ80" s="344">
        <f t="shared" si="22"/>
        <v>6600</v>
      </c>
      <c r="AR80" s="397"/>
      <c r="AS80" s="345"/>
      <c r="AV80" s="346"/>
    </row>
    <row r="81" spans="1:61" ht="15.6" customHeight="1">
      <c r="A81" s="271" t="s">
        <v>311</v>
      </c>
      <c r="B81" s="271" t="str">
        <f t="shared" si="15"/>
        <v>Show</v>
      </c>
      <c r="K81" s="337" t="str">
        <f>"531012"</f>
        <v>531012</v>
      </c>
      <c r="L81" s="275" t="str">
        <f t="shared" si="16"/>
        <v>001</v>
      </c>
      <c r="M81" s="275" t="str">
        <f t="shared" si="17"/>
        <v>10/1/2016..9/30/2017</v>
      </c>
      <c r="N81" s="274" t="str">
        <f t="shared" si="18"/>
        <v>HARMONY CDD</v>
      </c>
      <c r="O81" s="387" t="str">
        <f t="shared" si="19"/>
        <v>531012 51699</v>
      </c>
      <c r="P81" s="283" t="str">
        <f t="shared" si="20"/>
        <v>531012</v>
      </c>
      <c r="Q81" s="283"/>
      <c r="R81" s="389" t="s">
        <v>341</v>
      </c>
      <c r="S81" s="389"/>
      <c r="T81" s="388">
        <v>1500</v>
      </c>
      <c r="U81" s="338"/>
      <c r="V81" s="388">
        <v>0</v>
      </c>
      <c r="W81" s="338"/>
      <c r="X81" s="388">
        <v>0</v>
      </c>
      <c r="Y81" s="338"/>
      <c r="Z81" s="388">
        <v>0</v>
      </c>
      <c r="AA81" s="338"/>
      <c r="AB81" s="354">
        <v>1500</v>
      </c>
      <c r="AC81" s="351"/>
      <c r="AD81" s="354">
        <v>0</v>
      </c>
      <c r="AE81" s="354"/>
      <c r="AF81" s="354">
        <v>1500</v>
      </c>
      <c r="AG81" s="354"/>
      <c r="AH81" s="354">
        <v>1500</v>
      </c>
      <c r="AI81" s="354"/>
      <c r="AJ81" s="391">
        <f t="shared" si="23"/>
        <v>0</v>
      </c>
      <c r="AK81" s="354"/>
      <c r="AL81" s="350">
        <f t="shared" si="21"/>
        <v>1500</v>
      </c>
      <c r="AM81" s="354"/>
      <c r="AN81" s="354">
        <v>0</v>
      </c>
      <c r="AO81" s="354"/>
      <c r="AP81" s="391">
        <v>1500</v>
      </c>
      <c r="AQ81" s="344">
        <f t="shared" si="22"/>
        <v>7500</v>
      </c>
      <c r="AR81" s="397"/>
      <c r="AS81" s="345"/>
      <c r="AV81" s="346"/>
    </row>
    <row r="82" spans="1:61" ht="15.6" customHeight="1">
      <c r="A82" s="271" t="s">
        <v>311</v>
      </c>
      <c r="B82" s="271" t="str">
        <f t="shared" si="15"/>
        <v>Show</v>
      </c>
      <c r="K82" s="337" t="str">
        <f>"531013"</f>
        <v>531013</v>
      </c>
      <c r="L82" s="275" t="str">
        <f t="shared" si="16"/>
        <v>001</v>
      </c>
      <c r="M82" s="275" t="str">
        <f t="shared" si="17"/>
        <v>10/1/2016..9/30/2017</v>
      </c>
      <c r="N82" s="274" t="str">
        <f t="shared" si="18"/>
        <v>HARMONY CDD</v>
      </c>
      <c r="O82" s="387" t="str">
        <f t="shared" si="19"/>
        <v>531013 51699</v>
      </c>
      <c r="P82" s="283" t="str">
        <f t="shared" si="20"/>
        <v>531013</v>
      </c>
      <c r="Q82" s="283"/>
      <c r="R82" s="389" t="s">
        <v>342</v>
      </c>
      <c r="S82" s="389"/>
      <c r="T82" s="388">
        <v>978</v>
      </c>
      <c r="U82" s="338"/>
      <c r="V82" s="388">
        <v>0</v>
      </c>
      <c r="W82" s="338"/>
      <c r="X82" s="388">
        <v>0</v>
      </c>
      <c r="Y82" s="338"/>
      <c r="Z82" s="388">
        <v>0</v>
      </c>
      <c r="AA82" s="338"/>
      <c r="AB82" s="354">
        <v>7041</v>
      </c>
      <c r="AC82" s="351"/>
      <c r="AD82" s="354">
        <v>0</v>
      </c>
      <c r="AE82" s="354"/>
      <c r="AF82" s="354">
        <v>8000</v>
      </c>
      <c r="AG82" s="354"/>
      <c r="AH82" s="354">
        <v>2977</v>
      </c>
      <c r="AI82" s="354"/>
      <c r="AJ82" s="391">
        <f t="shared" si="23"/>
        <v>5023</v>
      </c>
      <c r="AK82" s="354"/>
      <c r="AL82" s="350">
        <f t="shared" si="21"/>
        <v>8000</v>
      </c>
      <c r="AM82" s="354"/>
      <c r="AN82" s="354">
        <v>0</v>
      </c>
      <c r="AO82" s="354"/>
      <c r="AP82" s="391">
        <v>8000</v>
      </c>
      <c r="AQ82" s="344">
        <f t="shared" si="22"/>
        <v>39041</v>
      </c>
      <c r="AR82" s="397"/>
      <c r="AS82" s="345"/>
      <c r="AV82" s="346"/>
    </row>
    <row r="83" spans="1:61" ht="15.6" customHeight="1">
      <c r="A83" s="271" t="s">
        <v>311</v>
      </c>
      <c r="B83" s="271" t="str">
        <f t="shared" si="15"/>
        <v>Show</v>
      </c>
      <c r="K83" s="337" t="str">
        <f>"531023"</f>
        <v>531023</v>
      </c>
      <c r="L83" s="275" t="str">
        <f t="shared" si="16"/>
        <v>001</v>
      </c>
      <c r="M83" s="275" t="str">
        <f t="shared" si="17"/>
        <v>10/1/2016..9/30/2017</v>
      </c>
      <c r="N83" s="274" t="str">
        <f t="shared" si="18"/>
        <v>HARMONY CDD</v>
      </c>
      <c r="O83" s="387" t="str">
        <f t="shared" si="19"/>
        <v>531023 51699</v>
      </c>
      <c r="P83" s="283" t="str">
        <f t="shared" si="20"/>
        <v>531023</v>
      </c>
      <c r="Q83" s="283"/>
      <c r="R83" s="389" t="s">
        <v>343</v>
      </c>
      <c r="S83" s="389"/>
      <c r="T83" s="388">
        <v>26496</v>
      </c>
      <c r="U83" s="338"/>
      <c r="V83" s="388">
        <v>0</v>
      </c>
      <c r="W83" s="338"/>
      <c r="X83" s="388">
        <v>0</v>
      </c>
      <c r="Y83" s="338"/>
      <c r="Z83" s="388">
        <v>0</v>
      </c>
      <c r="AA83" s="338"/>
      <c r="AB83" s="354">
        <v>47556</v>
      </c>
      <c r="AC83" s="351"/>
      <c r="AD83" s="354">
        <v>0</v>
      </c>
      <c r="AE83" s="354"/>
      <c r="AF83" s="354">
        <v>35000</v>
      </c>
      <c r="AG83" s="354"/>
      <c r="AH83" s="354">
        <v>31022</v>
      </c>
      <c r="AI83" s="354"/>
      <c r="AJ83" s="391">
        <f>45000-AH83</f>
        <v>13978</v>
      </c>
      <c r="AK83" s="354"/>
      <c r="AL83" s="350">
        <f t="shared" si="21"/>
        <v>45000</v>
      </c>
      <c r="AM83" s="354"/>
      <c r="AN83" s="354">
        <v>0</v>
      </c>
      <c r="AO83" s="354"/>
      <c r="AP83" s="1456">
        <v>40000</v>
      </c>
      <c r="AQ83" s="344">
        <f t="shared" si="22"/>
        <v>212556</v>
      </c>
      <c r="AR83" s="397"/>
      <c r="AS83" s="1455" t="s">
        <v>344</v>
      </c>
      <c r="AV83" s="346"/>
    </row>
    <row r="84" spans="1:61" ht="15.6" customHeight="1">
      <c r="A84" s="271" t="s">
        <v>311</v>
      </c>
      <c r="B84" s="271" t="str">
        <f t="shared" si="15"/>
        <v>Show</v>
      </c>
      <c r="K84" s="337" t="str">
        <f>"531027"</f>
        <v>531027</v>
      </c>
      <c r="L84" s="275" t="str">
        <f t="shared" si="16"/>
        <v>001</v>
      </c>
      <c r="M84" s="275" t="str">
        <f t="shared" si="17"/>
        <v>10/1/2016..9/30/2017</v>
      </c>
      <c r="N84" s="274" t="str">
        <f t="shared" si="18"/>
        <v>HARMONY CDD</v>
      </c>
      <c r="O84" s="387" t="str">
        <f t="shared" si="19"/>
        <v>531027 51699</v>
      </c>
      <c r="P84" s="283" t="str">
        <f t="shared" si="20"/>
        <v>531027</v>
      </c>
      <c r="Q84" s="283"/>
      <c r="R84" s="389" t="s">
        <v>345</v>
      </c>
      <c r="S84" s="389"/>
      <c r="T84" s="388">
        <v>23327</v>
      </c>
      <c r="U84" s="338"/>
      <c r="V84" s="388">
        <v>0</v>
      </c>
      <c r="W84" s="338"/>
      <c r="X84" s="388">
        <v>0</v>
      </c>
      <c r="Y84" s="338"/>
      <c r="Z84" s="388">
        <v>0</v>
      </c>
      <c r="AA84" s="338"/>
      <c r="AB84" s="354">
        <v>55984</v>
      </c>
      <c r="AC84" s="351"/>
      <c r="AD84" s="354">
        <v>0</v>
      </c>
      <c r="AE84" s="354"/>
      <c r="AF84" s="354">
        <v>55984</v>
      </c>
      <c r="AG84" s="354"/>
      <c r="AH84" s="354">
        <v>37323</v>
      </c>
      <c r="AI84" s="354"/>
      <c r="AJ84" s="391">
        <f>+AF84-AH84</f>
        <v>18661</v>
      </c>
      <c r="AK84" s="354"/>
      <c r="AL84" s="350">
        <f t="shared" si="21"/>
        <v>55984</v>
      </c>
      <c r="AM84" s="354"/>
      <c r="AN84" s="354">
        <v>0</v>
      </c>
      <c r="AO84" s="354"/>
      <c r="AP84" s="391">
        <v>55984</v>
      </c>
      <c r="AQ84" s="344">
        <f t="shared" si="22"/>
        <v>279920</v>
      </c>
      <c r="AR84" s="397"/>
      <c r="AS84" s="345"/>
      <c r="AV84" s="346"/>
    </row>
    <row r="85" spans="1:61" ht="15.6" customHeight="1">
      <c r="A85" s="271" t="s">
        <v>311</v>
      </c>
      <c r="B85" s="271" t="str">
        <f t="shared" si="15"/>
        <v>Show</v>
      </c>
      <c r="K85" s="337" t="str">
        <f>"531035"</f>
        <v>531035</v>
      </c>
      <c r="L85" s="275" t="str">
        <f t="shared" si="16"/>
        <v>001</v>
      </c>
      <c r="M85" s="275" t="str">
        <f t="shared" si="17"/>
        <v>10/1/2016..9/30/2017</v>
      </c>
      <c r="N85" s="274" t="str">
        <f t="shared" si="18"/>
        <v>HARMONY CDD</v>
      </c>
      <c r="O85" s="387" t="str">
        <f t="shared" si="19"/>
        <v>531035 51699</v>
      </c>
      <c r="P85" s="283" t="str">
        <f t="shared" si="20"/>
        <v>531035</v>
      </c>
      <c r="Q85" s="283"/>
      <c r="R85" s="389" t="s">
        <v>346</v>
      </c>
      <c r="S85" s="389"/>
      <c r="T85" s="388">
        <v>0</v>
      </c>
      <c r="U85" s="338"/>
      <c r="V85" s="388">
        <v>0</v>
      </c>
      <c r="W85" s="338"/>
      <c r="X85" s="388">
        <v>0</v>
      </c>
      <c r="Y85" s="338"/>
      <c r="Z85" s="388">
        <v>0</v>
      </c>
      <c r="AA85" s="338"/>
      <c r="AB85" s="354">
        <v>418</v>
      </c>
      <c r="AC85" s="351"/>
      <c r="AD85" s="354">
        <v>0</v>
      </c>
      <c r="AE85" s="354"/>
      <c r="AF85" s="354">
        <v>779</v>
      </c>
      <c r="AG85" s="354"/>
      <c r="AH85" s="354">
        <v>406</v>
      </c>
      <c r="AI85" s="354"/>
      <c r="AJ85" s="391">
        <v>0</v>
      </c>
      <c r="AK85" s="354"/>
      <c r="AL85" s="350">
        <f t="shared" si="21"/>
        <v>406</v>
      </c>
      <c r="AM85" s="354"/>
      <c r="AN85" s="354">
        <v>0</v>
      </c>
      <c r="AO85" s="354"/>
      <c r="AP85" s="391">
        <v>779</v>
      </c>
      <c r="AQ85" s="344">
        <f t="shared" si="22"/>
        <v>2788</v>
      </c>
      <c r="AR85" s="397"/>
      <c r="AS85" s="345"/>
      <c r="AV85" s="346"/>
    </row>
    <row r="86" spans="1:61" ht="15.6" customHeight="1">
      <c r="A86" s="271" t="s">
        <v>311</v>
      </c>
      <c r="B86" s="271" t="str">
        <f t="shared" si="15"/>
        <v>Show</v>
      </c>
      <c r="K86" s="337" t="str">
        <f>"531038"</f>
        <v>531038</v>
      </c>
      <c r="L86" s="275" t="str">
        <f t="shared" si="16"/>
        <v>001</v>
      </c>
      <c r="M86" s="275" t="str">
        <f t="shared" si="17"/>
        <v>10/1/2016..9/30/2017</v>
      </c>
      <c r="N86" s="274" t="str">
        <f t="shared" si="18"/>
        <v>HARMONY CDD</v>
      </c>
      <c r="O86" s="387" t="str">
        <f t="shared" si="19"/>
        <v>531038 51699</v>
      </c>
      <c r="P86" s="283" t="str">
        <f t="shared" si="20"/>
        <v>531038</v>
      </c>
      <c r="Q86" s="283"/>
      <c r="R86" s="389" t="s">
        <v>347</v>
      </c>
      <c r="S86" s="389"/>
      <c r="T86" s="388">
        <v>8822</v>
      </c>
      <c r="U86" s="338"/>
      <c r="V86" s="388">
        <v>0</v>
      </c>
      <c r="W86" s="338"/>
      <c r="X86" s="388">
        <v>0</v>
      </c>
      <c r="Y86" s="338"/>
      <c r="Z86" s="388">
        <v>0</v>
      </c>
      <c r="AA86" s="338"/>
      <c r="AB86" s="354">
        <v>7890</v>
      </c>
      <c r="AC86" s="351"/>
      <c r="AD86" s="354">
        <v>0</v>
      </c>
      <c r="AE86" s="354"/>
      <c r="AF86" s="354">
        <v>8822</v>
      </c>
      <c r="AG86" s="354"/>
      <c r="AH86" s="354">
        <v>8822</v>
      </c>
      <c r="AI86" s="354"/>
      <c r="AJ86" s="391">
        <f>+AF86-AH86</f>
        <v>0</v>
      </c>
      <c r="AK86" s="354"/>
      <c r="AL86" s="350">
        <f t="shared" si="21"/>
        <v>8822</v>
      </c>
      <c r="AM86" s="354"/>
      <c r="AN86" s="354">
        <v>0</v>
      </c>
      <c r="AO86" s="354"/>
      <c r="AP86" s="391">
        <v>8822</v>
      </c>
      <c r="AQ86" s="344">
        <f t="shared" si="22"/>
        <v>43178</v>
      </c>
      <c r="AR86" s="397"/>
      <c r="AS86" s="345"/>
      <c r="AV86" s="346"/>
    </row>
    <row r="87" spans="1:61" ht="15.6" customHeight="1">
      <c r="A87" s="271" t="s">
        <v>311</v>
      </c>
      <c r="B87" s="271" t="str">
        <f t="shared" si="15"/>
        <v>Show</v>
      </c>
      <c r="K87" s="337" t="str">
        <f>"531045"</f>
        <v>531045</v>
      </c>
      <c r="L87" s="275" t="str">
        <f t="shared" si="16"/>
        <v>001</v>
      </c>
      <c r="M87" s="275" t="str">
        <f t="shared" si="17"/>
        <v>10/1/2016..9/30/2017</v>
      </c>
      <c r="N87" s="274" t="str">
        <f t="shared" si="18"/>
        <v>HARMONY CDD</v>
      </c>
      <c r="O87" s="387" t="str">
        <f t="shared" si="19"/>
        <v>531045 51699</v>
      </c>
      <c r="P87" s="283" t="str">
        <f t="shared" si="20"/>
        <v>531045</v>
      </c>
      <c r="Q87" s="283"/>
      <c r="R87" s="389" t="s">
        <v>348</v>
      </c>
      <c r="S87" s="389"/>
      <c r="T87" s="388">
        <v>0</v>
      </c>
      <c r="U87" s="338"/>
      <c r="V87" s="388">
        <v>0</v>
      </c>
      <c r="W87" s="338"/>
      <c r="X87" s="388">
        <v>0</v>
      </c>
      <c r="Y87" s="338"/>
      <c r="Z87" s="388">
        <v>0</v>
      </c>
      <c r="AA87" s="338"/>
      <c r="AB87" s="354">
        <v>9727</v>
      </c>
      <c r="AC87" s="351"/>
      <c r="AD87" s="354">
        <v>0</v>
      </c>
      <c r="AE87" s="354"/>
      <c r="AF87" s="354">
        <v>10024</v>
      </c>
      <c r="AG87" s="354"/>
      <c r="AH87" s="354">
        <v>5390</v>
      </c>
      <c r="AI87" s="354"/>
      <c r="AJ87" s="350">
        <v>4400</v>
      </c>
      <c r="AK87" s="354"/>
      <c r="AL87" s="350">
        <f t="shared" si="21"/>
        <v>9790</v>
      </c>
      <c r="AM87" s="354"/>
      <c r="AN87" s="354">
        <v>0</v>
      </c>
      <c r="AO87" s="354"/>
      <c r="AP87" s="391">
        <f>5500+4524</f>
        <v>10024</v>
      </c>
      <c r="AQ87" s="344">
        <f t="shared" si="22"/>
        <v>49355</v>
      </c>
      <c r="AR87" s="397"/>
      <c r="AS87" s="345"/>
      <c r="AV87" s="346"/>
    </row>
    <row r="88" spans="1:61" ht="15.6" customHeight="1">
      <c r="A88" s="271" t="s">
        <v>311</v>
      </c>
      <c r="B88" s="271" t="str">
        <f t="shared" si="15"/>
        <v>Show</v>
      </c>
      <c r="K88" s="337" t="str">
        <f>"532002"</f>
        <v>532002</v>
      </c>
      <c r="L88" s="275" t="str">
        <f t="shared" si="16"/>
        <v>001</v>
      </c>
      <c r="M88" s="275" t="str">
        <f t="shared" si="17"/>
        <v>10/1/2016..9/30/2017</v>
      </c>
      <c r="N88" s="274" t="str">
        <f t="shared" si="18"/>
        <v>HARMONY CDD</v>
      </c>
      <c r="O88" s="387" t="str">
        <f t="shared" si="19"/>
        <v>532002 51699</v>
      </c>
      <c r="P88" s="283" t="str">
        <f t="shared" si="20"/>
        <v>532002</v>
      </c>
      <c r="Q88" s="283"/>
      <c r="R88" s="389" t="s">
        <v>349</v>
      </c>
      <c r="S88" s="389"/>
      <c r="T88" s="388">
        <v>0</v>
      </c>
      <c r="U88" s="338"/>
      <c r="V88" s="388">
        <v>0</v>
      </c>
      <c r="W88" s="338"/>
      <c r="X88" s="388">
        <v>0</v>
      </c>
      <c r="Y88" s="338"/>
      <c r="Z88" s="388">
        <v>0</v>
      </c>
      <c r="AA88" s="338"/>
      <c r="AB88" s="354">
        <v>4700</v>
      </c>
      <c r="AC88" s="351"/>
      <c r="AD88" s="354">
        <v>0</v>
      </c>
      <c r="AE88" s="354"/>
      <c r="AF88" s="354">
        <v>4900</v>
      </c>
      <c r="AG88" s="354"/>
      <c r="AH88" s="354">
        <v>4900</v>
      </c>
      <c r="AI88" s="354"/>
      <c r="AJ88" s="391">
        <f>+AF88-AH88</f>
        <v>0</v>
      </c>
      <c r="AK88" s="354"/>
      <c r="AL88" s="350">
        <f t="shared" si="21"/>
        <v>4900</v>
      </c>
      <c r="AM88" s="354"/>
      <c r="AN88" s="354">
        <v>0</v>
      </c>
      <c r="AO88" s="354"/>
      <c r="AP88" s="391">
        <v>4900</v>
      </c>
      <c r="AQ88" s="344">
        <f t="shared" si="22"/>
        <v>24300</v>
      </c>
      <c r="AR88" s="397"/>
      <c r="AS88" s="345"/>
      <c r="AV88" s="346"/>
    </row>
    <row r="89" spans="1:61" ht="15.6" hidden="1" customHeight="1">
      <c r="A89" s="271" t="s">
        <v>311</v>
      </c>
      <c r="B89" s="271" t="str">
        <f t="shared" si="15"/>
        <v>Hide</v>
      </c>
      <c r="K89" s="337" t="str">
        <f>"541003"</f>
        <v>541003</v>
      </c>
      <c r="L89" s="275" t="str">
        <f t="shared" si="16"/>
        <v>001</v>
      </c>
      <c r="M89" s="275" t="str">
        <f t="shared" si="17"/>
        <v>10/1/2016..9/30/2017</v>
      </c>
      <c r="N89" s="274" t="str">
        <f t="shared" si="18"/>
        <v>HARMONY CDD</v>
      </c>
      <c r="O89" s="387" t="str">
        <f t="shared" si="19"/>
        <v>541003 51699</v>
      </c>
      <c r="P89" s="283" t="str">
        <f t="shared" si="20"/>
        <v>541003</v>
      </c>
      <c r="Q89" s="283"/>
      <c r="R89" s="389" t="s">
        <v>350</v>
      </c>
      <c r="S89" s="389"/>
      <c r="T89" s="388">
        <v>0</v>
      </c>
      <c r="U89" s="338"/>
      <c r="V89" s="388">
        <v>0</v>
      </c>
      <c r="W89" s="338"/>
      <c r="X89" s="388">
        <v>0</v>
      </c>
      <c r="Y89" s="338"/>
      <c r="Z89" s="388">
        <v>0</v>
      </c>
      <c r="AA89" s="338"/>
      <c r="AB89" s="354">
        <v>0</v>
      </c>
      <c r="AC89" s="351"/>
      <c r="AD89" s="354">
        <v>0</v>
      </c>
      <c r="AE89" s="354"/>
      <c r="AF89" s="354">
        <v>0</v>
      </c>
      <c r="AG89" s="354"/>
      <c r="AH89" s="354">
        <v>0</v>
      </c>
      <c r="AI89" s="354"/>
      <c r="AJ89" s="391">
        <v>0</v>
      </c>
      <c r="AK89" s="354"/>
      <c r="AL89" s="350">
        <f t="shared" si="21"/>
        <v>0</v>
      </c>
      <c r="AM89" s="354"/>
      <c r="AN89" s="354">
        <v>0</v>
      </c>
      <c r="AO89" s="354"/>
      <c r="AP89" s="391">
        <f>IF($F$13="YES",AF89,AN89)</f>
        <v>0</v>
      </c>
      <c r="AQ89" s="344">
        <f t="shared" si="22"/>
        <v>0</v>
      </c>
      <c r="AR89" s="397"/>
      <c r="AS89" s="345"/>
      <c r="AV89" s="346"/>
    </row>
    <row r="90" spans="1:61" ht="15.6" customHeight="1">
      <c r="A90" s="271" t="s">
        <v>311</v>
      </c>
      <c r="B90" s="271" t="str">
        <f t="shared" si="15"/>
        <v>Show</v>
      </c>
      <c r="K90" s="337" t="str">
        <f>"541006"</f>
        <v>541006</v>
      </c>
      <c r="L90" s="275" t="str">
        <f t="shared" si="16"/>
        <v>001</v>
      </c>
      <c r="M90" s="275" t="str">
        <f t="shared" si="17"/>
        <v>10/1/2016..9/30/2017</v>
      </c>
      <c r="N90" s="274" t="str">
        <f t="shared" si="18"/>
        <v>HARMONY CDD</v>
      </c>
      <c r="O90" s="387" t="str">
        <f t="shared" si="19"/>
        <v>541006 51699</v>
      </c>
      <c r="P90" s="283" t="str">
        <f t="shared" si="20"/>
        <v>541006</v>
      </c>
      <c r="Q90" s="283"/>
      <c r="R90" s="389" t="s">
        <v>351</v>
      </c>
      <c r="S90" s="389"/>
      <c r="T90" s="388">
        <v>261</v>
      </c>
      <c r="U90" s="338"/>
      <c r="V90" s="388">
        <v>0</v>
      </c>
      <c r="W90" s="338"/>
      <c r="X90" s="388">
        <v>0</v>
      </c>
      <c r="Y90" s="338"/>
      <c r="Z90" s="388">
        <v>0</v>
      </c>
      <c r="AA90" s="338"/>
      <c r="AB90" s="354">
        <v>634</v>
      </c>
      <c r="AC90" s="351"/>
      <c r="AD90" s="354">
        <v>0</v>
      </c>
      <c r="AE90" s="354"/>
      <c r="AF90" s="354">
        <v>750</v>
      </c>
      <c r="AG90" s="354"/>
      <c r="AH90" s="354">
        <v>371</v>
      </c>
      <c r="AI90" s="354"/>
      <c r="AJ90" s="391">
        <f>+AH90/8*4</f>
        <v>185.5</v>
      </c>
      <c r="AK90" s="354"/>
      <c r="AL90" s="350">
        <f t="shared" si="21"/>
        <v>556.5</v>
      </c>
      <c r="AM90" s="354"/>
      <c r="AN90" s="354">
        <v>0</v>
      </c>
      <c r="AO90" s="354"/>
      <c r="AP90" s="391">
        <v>750</v>
      </c>
      <c r="AQ90" s="344">
        <f t="shared" si="22"/>
        <v>3247</v>
      </c>
      <c r="AR90" s="397"/>
      <c r="AS90" s="345"/>
      <c r="AV90" s="346"/>
    </row>
    <row r="91" spans="1:61" ht="15.6" customHeight="1">
      <c r="A91" s="271" t="s">
        <v>311</v>
      </c>
      <c r="B91" s="271" t="str">
        <f t="shared" si="15"/>
        <v>Show</v>
      </c>
      <c r="K91" s="337" t="str">
        <f>"544004"</f>
        <v>544004</v>
      </c>
      <c r="L91" s="275" t="str">
        <f t="shared" si="16"/>
        <v>001</v>
      </c>
      <c r="M91" s="275" t="str">
        <f t="shared" si="17"/>
        <v>10/1/2016..9/30/2017</v>
      </c>
      <c r="N91" s="274" t="str">
        <f t="shared" si="18"/>
        <v>HARMONY CDD</v>
      </c>
      <c r="O91" s="387" t="str">
        <f t="shared" si="19"/>
        <v>544004 51699</v>
      </c>
      <c r="P91" s="283" t="str">
        <f t="shared" si="20"/>
        <v>544004</v>
      </c>
      <c r="Q91" s="283"/>
      <c r="R91" s="389" t="s">
        <v>352</v>
      </c>
      <c r="S91" s="389"/>
      <c r="T91" s="388">
        <v>0</v>
      </c>
      <c r="U91" s="338"/>
      <c r="V91" s="388">
        <v>0</v>
      </c>
      <c r="W91" s="338"/>
      <c r="X91" s="388">
        <v>0</v>
      </c>
      <c r="Y91" s="338"/>
      <c r="Z91" s="388">
        <v>0</v>
      </c>
      <c r="AA91" s="338"/>
      <c r="AB91" s="354">
        <v>500</v>
      </c>
      <c r="AC91" s="351"/>
      <c r="AD91" s="354">
        <v>0</v>
      </c>
      <c r="AE91" s="354"/>
      <c r="AF91" s="354">
        <v>1500</v>
      </c>
      <c r="AG91" s="354"/>
      <c r="AH91" s="354">
        <v>0</v>
      </c>
      <c r="AI91" s="354"/>
      <c r="AJ91" s="391">
        <v>0</v>
      </c>
      <c r="AK91" s="354"/>
      <c r="AL91" s="350">
        <f t="shared" si="21"/>
        <v>0</v>
      </c>
      <c r="AM91" s="354"/>
      <c r="AN91" s="354">
        <v>0</v>
      </c>
      <c r="AO91" s="354"/>
      <c r="AP91" s="1456">
        <v>0</v>
      </c>
      <c r="AQ91" s="344">
        <f t="shared" si="22"/>
        <v>2000</v>
      </c>
      <c r="AR91" s="397"/>
      <c r="AS91" s="1455" t="s">
        <v>7924</v>
      </c>
      <c r="AV91" s="346"/>
    </row>
    <row r="92" spans="1:61" ht="15.6" customHeight="1">
      <c r="A92" s="271" t="s">
        <v>311</v>
      </c>
      <c r="B92" s="271" t="str">
        <f t="shared" si="15"/>
        <v>Show</v>
      </c>
      <c r="K92" s="337" t="str">
        <f>"545002"</f>
        <v>545002</v>
      </c>
      <c r="L92" s="275" t="str">
        <f t="shared" si="16"/>
        <v>001</v>
      </c>
      <c r="M92" s="275" t="str">
        <f t="shared" si="17"/>
        <v>10/1/2016..9/30/2017</v>
      </c>
      <c r="N92" s="274" t="str">
        <f t="shared" si="18"/>
        <v>HARMONY CDD</v>
      </c>
      <c r="O92" s="387" t="str">
        <f t="shared" si="19"/>
        <v>545002 51699</v>
      </c>
      <c r="P92" s="283" t="str">
        <f t="shared" si="20"/>
        <v>545002</v>
      </c>
      <c r="Q92" s="283"/>
      <c r="R92" s="389" t="s">
        <v>353</v>
      </c>
      <c r="S92" s="389"/>
      <c r="T92" s="388">
        <v>26759</v>
      </c>
      <c r="U92" s="338"/>
      <c r="V92" s="388">
        <v>0</v>
      </c>
      <c r="W92" s="338"/>
      <c r="X92" s="388">
        <v>0</v>
      </c>
      <c r="Y92" s="338"/>
      <c r="Z92" s="388">
        <v>0</v>
      </c>
      <c r="AA92" s="338"/>
      <c r="AB92" s="354">
        <v>25512</v>
      </c>
      <c r="AC92" s="351"/>
      <c r="AD92" s="354">
        <v>0</v>
      </c>
      <c r="AE92" s="354"/>
      <c r="AF92" s="354">
        <v>25512</v>
      </c>
      <c r="AG92" s="354"/>
      <c r="AH92" s="354">
        <v>26759</v>
      </c>
      <c r="AI92" s="354"/>
      <c r="AJ92" s="391">
        <v>0</v>
      </c>
      <c r="AK92" s="354"/>
      <c r="AL92" s="350">
        <f t="shared" si="21"/>
        <v>26759</v>
      </c>
      <c r="AM92" s="354"/>
      <c r="AN92" s="354">
        <v>0</v>
      </c>
      <c r="AO92" s="354"/>
      <c r="AP92" s="391">
        <f>ROUND(+AL92*1.1,0)</f>
        <v>29435</v>
      </c>
      <c r="AQ92" s="344">
        <f t="shared" si="22"/>
        <v>133977</v>
      </c>
      <c r="AR92" s="397"/>
      <c r="AS92" s="345"/>
      <c r="AV92" s="346"/>
      <c r="BI92" s="399"/>
    </row>
    <row r="93" spans="1:61" ht="15.6" customHeight="1">
      <c r="A93" s="271" t="s">
        <v>311</v>
      </c>
      <c r="B93" s="271" t="str">
        <f t="shared" si="15"/>
        <v>Show</v>
      </c>
      <c r="K93" s="337" t="str">
        <f>"547001"</f>
        <v>547001</v>
      </c>
      <c r="L93" s="275" t="str">
        <f t="shared" si="16"/>
        <v>001</v>
      </c>
      <c r="M93" s="275" t="str">
        <f t="shared" si="17"/>
        <v>10/1/2016..9/30/2017</v>
      </c>
      <c r="N93" s="274" t="str">
        <f t="shared" si="18"/>
        <v>HARMONY CDD</v>
      </c>
      <c r="O93" s="387" t="str">
        <f t="shared" si="19"/>
        <v>547001 51699</v>
      </c>
      <c r="P93" s="283" t="str">
        <f t="shared" si="20"/>
        <v>547001</v>
      </c>
      <c r="Q93" s="283"/>
      <c r="R93" s="389" t="s">
        <v>354</v>
      </c>
      <c r="S93" s="389"/>
      <c r="T93" s="388">
        <v>817</v>
      </c>
      <c r="U93" s="338"/>
      <c r="V93" s="388">
        <v>0</v>
      </c>
      <c r="W93" s="338"/>
      <c r="X93" s="388">
        <v>0</v>
      </c>
      <c r="Y93" s="338"/>
      <c r="Z93" s="388">
        <v>0</v>
      </c>
      <c r="AA93" s="338"/>
      <c r="AB93" s="354">
        <v>2826</v>
      </c>
      <c r="AC93" s="351"/>
      <c r="AD93" s="354">
        <v>0</v>
      </c>
      <c r="AE93" s="354"/>
      <c r="AF93" s="354">
        <v>2500</v>
      </c>
      <c r="AG93" s="354"/>
      <c r="AH93" s="354">
        <v>1211</v>
      </c>
      <c r="AI93" s="354"/>
      <c r="AJ93" s="391">
        <f>+AH93/8*4</f>
        <v>605.5</v>
      </c>
      <c r="AK93" s="354"/>
      <c r="AL93" s="350">
        <f t="shared" si="21"/>
        <v>1816.5</v>
      </c>
      <c r="AM93" s="354"/>
      <c r="AN93" s="354">
        <v>0</v>
      </c>
      <c r="AO93" s="354"/>
      <c r="AP93" s="391">
        <v>2500</v>
      </c>
      <c r="AQ93" s="344">
        <f t="shared" si="22"/>
        <v>11459</v>
      </c>
      <c r="AR93" s="397"/>
      <c r="AS93" s="345"/>
      <c r="AV93" s="346"/>
    </row>
    <row r="94" spans="1:61" ht="15.6" customHeight="1">
      <c r="A94" s="271" t="s">
        <v>311</v>
      </c>
      <c r="B94" s="271" t="str">
        <f t="shared" si="15"/>
        <v>Show</v>
      </c>
      <c r="K94" s="337" t="str">
        <f>"548002"</f>
        <v>548002</v>
      </c>
      <c r="L94" s="275" t="str">
        <f t="shared" si="16"/>
        <v>001</v>
      </c>
      <c r="M94" s="275" t="str">
        <f t="shared" si="17"/>
        <v>10/1/2016..9/30/2017</v>
      </c>
      <c r="N94" s="274" t="str">
        <f t="shared" si="18"/>
        <v>HARMONY CDD</v>
      </c>
      <c r="O94" s="387" t="str">
        <f t="shared" si="19"/>
        <v>548002 51699</v>
      </c>
      <c r="P94" s="283" t="str">
        <f t="shared" si="20"/>
        <v>548002</v>
      </c>
      <c r="Q94" s="283"/>
      <c r="R94" s="389" t="s">
        <v>355</v>
      </c>
      <c r="S94" s="389"/>
      <c r="T94" s="388">
        <v>110</v>
      </c>
      <c r="U94" s="338"/>
      <c r="V94" s="388">
        <v>0</v>
      </c>
      <c r="W94" s="338"/>
      <c r="X94" s="388">
        <v>0</v>
      </c>
      <c r="Y94" s="338"/>
      <c r="Z94" s="388">
        <v>0</v>
      </c>
      <c r="AA94" s="338"/>
      <c r="AB94" s="354">
        <v>1015</v>
      </c>
      <c r="AC94" s="351"/>
      <c r="AD94" s="354">
        <v>0</v>
      </c>
      <c r="AE94" s="354"/>
      <c r="AF94" s="354">
        <v>900</v>
      </c>
      <c r="AG94" s="354"/>
      <c r="AH94" s="354">
        <v>151</v>
      </c>
      <c r="AI94" s="354"/>
      <c r="AJ94" s="391">
        <f>+AF94-AH94</f>
        <v>749</v>
      </c>
      <c r="AK94" s="354"/>
      <c r="AL94" s="350">
        <f t="shared" si="21"/>
        <v>900</v>
      </c>
      <c r="AM94" s="354"/>
      <c r="AN94" s="354">
        <v>0</v>
      </c>
      <c r="AO94" s="354"/>
      <c r="AP94" s="391">
        <v>900</v>
      </c>
      <c r="AQ94" s="344">
        <f t="shared" si="22"/>
        <v>4615</v>
      </c>
      <c r="AR94" s="397"/>
      <c r="AS94" s="345"/>
      <c r="AV94" s="346"/>
    </row>
    <row r="95" spans="1:61" ht="15.6" hidden="1" customHeight="1">
      <c r="A95" s="271" t="s">
        <v>311</v>
      </c>
      <c r="B95" s="271" t="str">
        <f t="shared" si="15"/>
        <v>Hide</v>
      </c>
      <c r="K95" s="337" t="str">
        <f>"549001"</f>
        <v>549001</v>
      </c>
      <c r="L95" s="275" t="str">
        <f t="shared" si="16"/>
        <v>001</v>
      </c>
      <c r="M95" s="275" t="str">
        <f t="shared" si="17"/>
        <v>10/1/2016..9/30/2017</v>
      </c>
      <c r="N95" s="274" t="str">
        <f t="shared" si="18"/>
        <v>HARMONY CDD</v>
      </c>
      <c r="O95" s="387" t="str">
        <f t="shared" si="19"/>
        <v>549001 51699</v>
      </c>
      <c r="P95" s="283" t="str">
        <f t="shared" si="20"/>
        <v>549001</v>
      </c>
      <c r="Q95" s="283"/>
      <c r="R95" s="389" t="s">
        <v>356</v>
      </c>
      <c r="S95" s="389"/>
      <c r="T95" s="388">
        <v>0</v>
      </c>
      <c r="U95" s="338"/>
      <c r="V95" s="388">
        <v>0</v>
      </c>
      <c r="W95" s="338"/>
      <c r="X95" s="388">
        <v>0</v>
      </c>
      <c r="Y95" s="338"/>
      <c r="Z95" s="388">
        <v>0</v>
      </c>
      <c r="AA95" s="338"/>
      <c r="AB95" s="354">
        <v>0</v>
      </c>
      <c r="AC95" s="351"/>
      <c r="AD95" s="354">
        <v>0</v>
      </c>
      <c r="AE95" s="354"/>
      <c r="AF95" s="354">
        <v>0</v>
      </c>
      <c r="AG95" s="354"/>
      <c r="AH95" s="354">
        <v>0</v>
      </c>
      <c r="AI95" s="354"/>
      <c r="AJ95" s="391">
        <v>0</v>
      </c>
      <c r="AK95" s="354"/>
      <c r="AL95" s="350">
        <f t="shared" si="21"/>
        <v>0</v>
      </c>
      <c r="AM95" s="354"/>
      <c r="AN95" s="354">
        <v>0</v>
      </c>
      <c r="AO95" s="354"/>
      <c r="AP95" s="391">
        <f>IF($F$13="YES",AF95,AN95)</f>
        <v>0</v>
      </c>
      <c r="AQ95" s="344">
        <f t="shared" si="22"/>
        <v>0</v>
      </c>
      <c r="AR95" s="397"/>
      <c r="AS95" s="345"/>
      <c r="AV95" s="346"/>
    </row>
    <row r="96" spans="1:61" ht="15.6" customHeight="1">
      <c r="A96" s="271" t="s">
        <v>311</v>
      </c>
      <c r="B96" s="271" t="str">
        <f t="shared" si="15"/>
        <v>Show</v>
      </c>
      <c r="K96" s="337" t="str">
        <f>"549069"</f>
        <v>549069</v>
      </c>
      <c r="L96" s="275" t="str">
        <f t="shared" si="16"/>
        <v>001</v>
      </c>
      <c r="M96" s="275" t="str">
        <f t="shared" si="17"/>
        <v>10/1/2016..9/30/2017</v>
      </c>
      <c r="N96" s="274" t="str">
        <f t="shared" si="18"/>
        <v>HARMONY CDD</v>
      </c>
      <c r="O96" s="387" t="str">
        <f t="shared" si="19"/>
        <v>549069 51699</v>
      </c>
      <c r="P96" s="283" t="str">
        <f t="shared" si="20"/>
        <v>549069</v>
      </c>
      <c r="Q96" s="283"/>
      <c r="R96" s="389" t="s">
        <v>357</v>
      </c>
      <c r="S96" s="389"/>
      <c r="T96" s="388">
        <v>0</v>
      </c>
      <c r="U96" s="338"/>
      <c r="V96" s="388">
        <v>0</v>
      </c>
      <c r="W96" s="338"/>
      <c r="X96" s="388">
        <v>0</v>
      </c>
      <c r="Y96" s="338"/>
      <c r="Z96" s="388">
        <v>0</v>
      </c>
      <c r="AA96" s="338"/>
      <c r="AB96" s="354">
        <v>0</v>
      </c>
      <c r="AC96" s="351"/>
      <c r="AD96" s="354">
        <v>0</v>
      </c>
      <c r="AE96" s="354"/>
      <c r="AF96" s="354">
        <v>150</v>
      </c>
      <c r="AG96" s="354"/>
      <c r="AH96" s="354">
        <v>0</v>
      </c>
      <c r="AI96" s="354"/>
      <c r="AJ96" s="391">
        <f>+AF96-AH96</f>
        <v>150</v>
      </c>
      <c r="AK96" s="354"/>
      <c r="AL96" s="350">
        <f t="shared" si="21"/>
        <v>150</v>
      </c>
      <c r="AM96" s="354"/>
      <c r="AN96" s="354">
        <v>0</v>
      </c>
      <c r="AO96" s="354"/>
      <c r="AP96" s="391">
        <v>150</v>
      </c>
      <c r="AQ96" s="344">
        <f t="shared" si="22"/>
        <v>600</v>
      </c>
      <c r="AR96" s="397"/>
      <c r="AS96" s="345"/>
      <c r="AV96" s="346"/>
    </row>
    <row r="97" spans="1:58" ht="15.6" customHeight="1">
      <c r="A97" s="271" t="s">
        <v>311</v>
      </c>
      <c r="B97" s="271" t="str">
        <f t="shared" ca="1" si="15"/>
        <v>Show</v>
      </c>
      <c r="K97" s="337" t="str">
        <f>"549070"</f>
        <v>549070</v>
      </c>
      <c r="L97" s="275" t="str">
        <f t="shared" si="16"/>
        <v>001</v>
      </c>
      <c r="M97" s="275" t="str">
        <f t="shared" si="17"/>
        <v>10/1/2016..9/30/2017</v>
      </c>
      <c r="N97" s="274" t="str">
        <f t="shared" si="18"/>
        <v>HARMONY CDD</v>
      </c>
      <c r="O97" s="387" t="str">
        <f t="shared" si="19"/>
        <v>549070 51699</v>
      </c>
      <c r="P97" s="283" t="str">
        <f t="shared" si="20"/>
        <v>549070</v>
      </c>
      <c r="Q97" s="283"/>
      <c r="R97" s="389" t="s">
        <v>358</v>
      </c>
      <c r="S97" s="389"/>
      <c r="T97" s="388">
        <v>15371</v>
      </c>
      <c r="U97" s="338"/>
      <c r="V97" s="388">
        <v>0</v>
      </c>
      <c r="W97" s="338"/>
      <c r="X97" s="388">
        <v>0</v>
      </c>
      <c r="Y97" s="338"/>
      <c r="Z97" s="388">
        <v>0</v>
      </c>
      <c r="AA97" s="338"/>
      <c r="AB97" s="354">
        <v>10562</v>
      </c>
      <c r="AC97" s="351"/>
      <c r="AD97" s="354">
        <v>0</v>
      </c>
      <c r="AE97" s="354"/>
      <c r="AF97" s="391">
        <f>+AF42*0.02</f>
        <v>20358.62</v>
      </c>
      <c r="AG97" s="354"/>
      <c r="AH97" s="354">
        <v>19328</v>
      </c>
      <c r="AI97" s="354"/>
      <c r="AJ97" s="391">
        <f>+AJ42*0.02</f>
        <v>428.40000000000003</v>
      </c>
      <c r="AK97" s="354"/>
      <c r="AL97" s="350">
        <f t="shared" si="21"/>
        <v>19756.400000000001</v>
      </c>
      <c r="AM97" s="354"/>
      <c r="AN97" s="354">
        <v>0</v>
      </c>
      <c r="AO97" s="354"/>
      <c r="AP97" s="391">
        <f ca="1">ROUND(+AP42*0.02,0)</f>
        <v>25055</v>
      </c>
      <c r="AQ97" s="344">
        <f t="shared" ca="1" si="22"/>
        <v>95488.42</v>
      </c>
      <c r="AR97" s="397"/>
      <c r="AS97" s="400"/>
      <c r="AV97" s="346"/>
    </row>
    <row r="98" spans="1:58" ht="15.6" customHeight="1">
      <c r="A98" s="271" t="s">
        <v>311</v>
      </c>
      <c r="B98" s="271" t="str">
        <f t="shared" si="15"/>
        <v>Show</v>
      </c>
      <c r="K98" s="337" t="str">
        <f>"549900"</f>
        <v>549900</v>
      </c>
      <c r="L98" s="275" t="str">
        <f t="shared" si="16"/>
        <v>001</v>
      </c>
      <c r="M98" s="275" t="str">
        <f t="shared" si="17"/>
        <v>10/1/2016..9/30/2017</v>
      </c>
      <c r="N98" s="274" t="str">
        <f t="shared" si="18"/>
        <v>HARMONY CDD</v>
      </c>
      <c r="O98" s="387" t="str">
        <f t="shared" si="19"/>
        <v>549900 51699</v>
      </c>
      <c r="P98" s="283" t="str">
        <f t="shared" si="20"/>
        <v>549900</v>
      </c>
      <c r="Q98" s="283"/>
      <c r="R98" s="389" t="s">
        <v>359</v>
      </c>
      <c r="S98" s="389"/>
      <c r="T98" s="388">
        <v>69</v>
      </c>
      <c r="U98" s="338"/>
      <c r="V98" s="388">
        <v>0</v>
      </c>
      <c r="W98" s="338"/>
      <c r="X98" s="388">
        <v>0</v>
      </c>
      <c r="Y98" s="338"/>
      <c r="Z98" s="388">
        <v>0</v>
      </c>
      <c r="AA98" s="338"/>
      <c r="AB98" s="354">
        <v>50</v>
      </c>
      <c r="AC98" s="351"/>
      <c r="AD98" s="354">
        <v>0</v>
      </c>
      <c r="AE98" s="354"/>
      <c r="AF98" s="354">
        <v>2600</v>
      </c>
      <c r="AG98" s="354"/>
      <c r="AH98" s="354">
        <v>124</v>
      </c>
      <c r="AI98" s="354"/>
      <c r="AJ98" s="391">
        <f t="shared" ref="AJ98:AJ99" si="24">+AH98/8*4</f>
        <v>62</v>
      </c>
      <c r="AK98" s="354"/>
      <c r="AL98" s="350">
        <f t="shared" si="21"/>
        <v>186</v>
      </c>
      <c r="AM98" s="354"/>
      <c r="AN98" s="354">
        <v>0</v>
      </c>
      <c r="AO98" s="354"/>
      <c r="AP98" s="391">
        <v>2600</v>
      </c>
      <c r="AQ98" s="344">
        <f t="shared" si="22"/>
        <v>5622</v>
      </c>
      <c r="AR98" s="397"/>
      <c r="AS98" s="345"/>
      <c r="AV98" s="346"/>
    </row>
    <row r="99" spans="1:58" ht="15.6" customHeight="1">
      <c r="A99" s="271" t="s">
        <v>311</v>
      </c>
      <c r="B99" s="271" t="str">
        <f t="shared" si="15"/>
        <v>Show</v>
      </c>
      <c r="K99" s="337" t="str">
        <f>"551002"</f>
        <v>551002</v>
      </c>
      <c r="L99" s="275" t="str">
        <f t="shared" si="16"/>
        <v>001</v>
      </c>
      <c r="M99" s="275" t="str">
        <f t="shared" si="17"/>
        <v>10/1/2016..9/30/2017</v>
      </c>
      <c r="N99" s="274" t="str">
        <f t="shared" si="18"/>
        <v>HARMONY CDD</v>
      </c>
      <c r="O99" s="387" t="str">
        <f t="shared" si="19"/>
        <v>551002 51699</v>
      </c>
      <c r="P99" s="283" t="str">
        <f t="shared" si="20"/>
        <v>551002</v>
      </c>
      <c r="Q99" s="283"/>
      <c r="R99" s="389" t="s">
        <v>360</v>
      </c>
      <c r="S99" s="389"/>
      <c r="T99" s="388">
        <v>11</v>
      </c>
      <c r="U99" s="338"/>
      <c r="V99" s="388">
        <v>0</v>
      </c>
      <c r="W99" s="338"/>
      <c r="X99" s="388">
        <v>0</v>
      </c>
      <c r="Y99" s="338"/>
      <c r="Z99" s="388">
        <v>0</v>
      </c>
      <c r="AA99" s="338"/>
      <c r="AB99" s="354">
        <v>44</v>
      </c>
      <c r="AC99" s="351"/>
      <c r="AD99" s="354">
        <v>0</v>
      </c>
      <c r="AE99" s="354"/>
      <c r="AF99" s="354">
        <v>300</v>
      </c>
      <c r="AG99" s="354"/>
      <c r="AH99" s="354">
        <v>28</v>
      </c>
      <c r="AI99" s="354"/>
      <c r="AJ99" s="391">
        <f t="shared" si="24"/>
        <v>14</v>
      </c>
      <c r="AK99" s="354"/>
      <c r="AL99" s="350">
        <f t="shared" si="21"/>
        <v>42</v>
      </c>
      <c r="AM99" s="354"/>
      <c r="AN99" s="354">
        <v>0</v>
      </c>
      <c r="AO99" s="354"/>
      <c r="AP99" s="391">
        <v>300</v>
      </c>
      <c r="AQ99" s="344">
        <f t="shared" si="22"/>
        <v>728</v>
      </c>
      <c r="AR99" s="397"/>
      <c r="AS99" s="345"/>
      <c r="AV99" s="346"/>
    </row>
    <row r="100" spans="1:58" ht="15.6" customHeight="1">
      <c r="A100" s="271" t="s">
        <v>311</v>
      </c>
      <c r="B100" s="271" t="str">
        <f t="shared" si="15"/>
        <v>Show</v>
      </c>
      <c r="K100" s="337" t="str">
        <f>"554007"</f>
        <v>554007</v>
      </c>
      <c r="L100" s="275" t="str">
        <f t="shared" si="16"/>
        <v>001</v>
      </c>
      <c r="M100" s="275" t="str">
        <f t="shared" si="17"/>
        <v>10/1/2016..9/30/2017</v>
      </c>
      <c r="N100" s="274" t="str">
        <f t="shared" si="18"/>
        <v>HARMONY CDD</v>
      </c>
      <c r="O100" s="387" t="str">
        <f t="shared" si="19"/>
        <v>554007 51699</v>
      </c>
      <c r="P100" s="283" t="str">
        <f t="shared" si="20"/>
        <v>554007</v>
      </c>
      <c r="Q100" s="283"/>
      <c r="R100" s="389" t="s">
        <v>361</v>
      </c>
      <c r="S100" s="389"/>
      <c r="T100" s="388">
        <v>175</v>
      </c>
      <c r="U100" s="338"/>
      <c r="V100" s="388">
        <v>0</v>
      </c>
      <c r="W100" s="338"/>
      <c r="X100" s="388">
        <v>0</v>
      </c>
      <c r="Y100" s="338"/>
      <c r="Z100" s="388">
        <v>0</v>
      </c>
      <c r="AA100" s="338"/>
      <c r="AB100" s="354">
        <v>175</v>
      </c>
      <c r="AC100" s="351"/>
      <c r="AD100" s="354">
        <v>0</v>
      </c>
      <c r="AE100" s="354"/>
      <c r="AF100" s="354">
        <v>175</v>
      </c>
      <c r="AG100" s="354"/>
      <c r="AH100" s="354">
        <v>175</v>
      </c>
      <c r="AI100" s="354"/>
      <c r="AJ100" s="391">
        <f>+AF100-AH100</f>
        <v>0</v>
      </c>
      <c r="AK100" s="354"/>
      <c r="AL100" s="350">
        <f t="shared" si="21"/>
        <v>175</v>
      </c>
      <c r="AM100" s="354"/>
      <c r="AN100" s="354">
        <v>0</v>
      </c>
      <c r="AO100" s="354"/>
      <c r="AP100" s="391">
        <v>175</v>
      </c>
      <c r="AQ100" s="344">
        <f t="shared" si="22"/>
        <v>875</v>
      </c>
      <c r="AR100" s="397"/>
      <c r="AS100" s="345"/>
      <c r="AV100" s="346"/>
    </row>
    <row r="101" spans="1:58" ht="15.6" hidden="1" customHeight="1">
      <c r="A101" s="271" t="s">
        <v>311</v>
      </c>
      <c r="B101" s="271" t="str">
        <f t="shared" si="15"/>
        <v>Hide</v>
      </c>
      <c r="K101" s="337" t="str">
        <f>"564043"</f>
        <v>564043</v>
      </c>
      <c r="L101" s="275" t="str">
        <f t="shared" si="16"/>
        <v>001</v>
      </c>
      <c r="M101" s="275" t="str">
        <f t="shared" si="17"/>
        <v>10/1/2016..9/30/2017</v>
      </c>
      <c r="N101" s="274" t="str">
        <f t="shared" si="18"/>
        <v>HARMONY CDD</v>
      </c>
      <c r="O101" s="387" t="str">
        <f t="shared" si="19"/>
        <v>564043 51699</v>
      </c>
      <c r="P101" s="283" t="str">
        <f t="shared" si="20"/>
        <v>564043</v>
      </c>
      <c r="Q101" s="283"/>
      <c r="R101" s="389" t="s">
        <v>362</v>
      </c>
      <c r="S101" s="389"/>
      <c r="T101" s="388">
        <v>0</v>
      </c>
      <c r="U101" s="338"/>
      <c r="V101" s="388">
        <v>0</v>
      </c>
      <c r="W101" s="338"/>
      <c r="X101" s="388">
        <v>0</v>
      </c>
      <c r="Y101" s="338"/>
      <c r="Z101" s="388">
        <v>0</v>
      </c>
      <c r="AA101" s="338"/>
      <c r="AB101" s="354">
        <v>0</v>
      </c>
      <c r="AC101" s="351"/>
      <c r="AD101" s="354">
        <v>0</v>
      </c>
      <c r="AE101" s="354"/>
      <c r="AF101" s="354">
        <v>0</v>
      </c>
      <c r="AG101" s="354"/>
      <c r="AH101" s="354">
        <v>0</v>
      </c>
      <c r="AI101" s="354"/>
      <c r="AJ101" s="391">
        <v>0</v>
      </c>
      <c r="AK101" s="354"/>
      <c r="AL101" s="350">
        <f t="shared" si="21"/>
        <v>0</v>
      </c>
      <c r="AM101" s="354"/>
      <c r="AN101" s="354">
        <v>0</v>
      </c>
      <c r="AO101" s="354"/>
      <c r="AP101" s="391">
        <f>IF($F$13="YES",AF101,AN101)</f>
        <v>0</v>
      </c>
      <c r="AQ101" s="344">
        <f t="shared" si="22"/>
        <v>0</v>
      </c>
      <c r="AR101" s="397"/>
      <c r="AS101" s="345"/>
      <c r="AV101" s="346"/>
    </row>
    <row r="102" spans="1:58" ht="3.95" hidden="1" customHeight="1">
      <c r="B102" s="274" t="str">
        <f ca="1">B103</f>
        <v>Show</v>
      </c>
      <c r="N102" s="274"/>
      <c r="Q102" s="320"/>
      <c r="R102" s="308"/>
      <c r="S102" s="308"/>
      <c r="T102" s="401"/>
      <c r="U102" s="308"/>
      <c r="V102" s="401"/>
      <c r="W102" s="308"/>
      <c r="X102" s="401"/>
      <c r="Y102" s="308"/>
      <c r="Z102" s="401"/>
      <c r="AA102" s="308"/>
      <c r="AB102" s="383"/>
      <c r="AC102" s="402"/>
      <c r="AD102" s="383"/>
      <c r="AE102" s="402"/>
      <c r="AF102" s="383"/>
      <c r="AG102" s="402"/>
      <c r="AH102" s="383"/>
      <c r="AI102" s="402"/>
      <c r="AJ102" s="383"/>
      <c r="AK102" s="402"/>
      <c r="AL102" s="383"/>
      <c r="AM102" s="402"/>
      <c r="AN102" s="383"/>
      <c r="AO102" s="383"/>
      <c r="AP102" s="383"/>
      <c r="AQ102" s="401"/>
      <c r="AR102" s="308"/>
      <c r="AS102" s="403"/>
    </row>
    <row r="103" spans="1:58" ht="15" customHeight="1">
      <c r="B103" s="271" t="str">
        <f ca="1">IF(AQ103=0,"Hide","Show")</f>
        <v>Show</v>
      </c>
      <c r="N103" s="274"/>
      <c r="R103" s="392" t="str">
        <f>"Total "&amp;R76</f>
        <v>Total Administrative</v>
      </c>
      <c r="S103" s="330"/>
      <c r="T103" s="393">
        <f>SUM(T78:T102)</f>
        <v>110463</v>
      </c>
      <c r="U103" s="404"/>
      <c r="V103" s="393">
        <f>SUM(V78:V102)</f>
        <v>0</v>
      </c>
      <c r="W103" s="404"/>
      <c r="X103" s="393">
        <f>SUM(X78:X102)</f>
        <v>0</v>
      </c>
      <c r="Y103" s="404"/>
      <c r="Z103" s="393">
        <f>SUM(Z78:Z102)</f>
        <v>0</v>
      </c>
      <c r="AA103" s="404"/>
      <c r="AB103" s="394">
        <f>SUM(AB78:AB102)</f>
        <v>190637</v>
      </c>
      <c r="AC103" s="405"/>
      <c r="AD103" s="394">
        <f>SUM(AD78:AD102)</f>
        <v>0</v>
      </c>
      <c r="AE103" s="386"/>
      <c r="AF103" s="394">
        <f>SUM(AF78:AF102)</f>
        <v>193011.62</v>
      </c>
      <c r="AG103" s="405"/>
      <c r="AH103" s="394">
        <f>SUM(AH78:AH102)</f>
        <v>148838</v>
      </c>
      <c r="AI103" s="405"/>
      <c r="AJ103" s="394">
        <f>SUM(AJ78:AJ102)</f>
        <v>49162.400000000001</v>
      </c>
      <c r="AK103" s="405"/>
      <c r="AL103" s="394">
        <f>SUM(AL78:AL102)</f>
        <v>198000.4</v>
      </c>
      <c r="AM103" s="405"/>
      <c r="AN103" s="394">
        <f>SUM(AN78:AN102)</f>
        <v>0</v>
      </c>
      <c r="AO103" s="405"/>
      <c r="AP103" s="394">
        <f ca="1">SUM(AP78:AP102)</f>
        <v>205131</v>
      </c>
      <c r="AQ103" s="344">
        <f ca="1">ABS(SUMIF(V103:AP103,"&gt;0")-SUMIF(V103:AP103,"&lt;0"))</f>
        <v>984780.42</v>
      </c>
      <c r="AR103" s="308"/>
      <c r="AS103" s="403"/>
    </row>
    <row r="104" spans="1:58" s="272" customFormat="1" ht="15.6" customHeight="1">
      <c r="B104" s="272" t="str">
        <f ca="1">B103</f>
        <v>Show</v>
      </c>
      <c r="K104" s="406"/>
      <c r="R104" s="407" t="s">
        <v>333</v>
      </c>
      <c r="S104" s="322"/>
      <c r="T104" s="322"/>
      <c r="U104" s="322"/>
      <c r="V104" s="322"/>
      <c r="W104" s="322"/>
      <c r="X104" s="322"/>
      <c r="Y104" s="322"/>
      <c r="Z104" s="322"/>
      <c r="AA104" s="322"/>
      <c r="AB104" s="352"/>
      <c r="AC104" s="352"/>
      <c r="AD104" s="352"/>
      <c r="AE104" s="352"/>
      <c r="AF104" s="352"/>
      <c r="AG104" s="352"/>
      <c r="AH104" s="352"/>
      <c r="AI104" s="352"/>
      <c r="AJ104" s="352"/>
      <c r="AK104" s="352"/>
      <c r="AL104" s="408">
        <f>AF103-AL103</f>
        <v>-4988.7799999999988</v>
      </c>
      <c r="AM104" s="352"/>
      <c r="AN104" s="352"/>
      <c r="AO104" s="386"/>
      <c r="AP104" s="352"/>
      <c r="AQ104" s="322"/>
      <c r="AR104" s="322"/>
      <c r="AS104" s="409" t="s">
        <v>363</v>
      </c>
    </row>
    <row r="105" spans="1:58" hidden="1">
      <c r="B105" s="271" t="s">
        <v>31</v>
      </c>
      <c r="E105" s="336" t="str">
        <f>IF($F$22=0,0,IF(OR($F$14="No",VALUE($F$22)&lt;=399,VALUE($F$22)&gt;499),"500000..564999|566000..579999","500000..552098|552200..564999|566000..579999"))</f>
        <v>500000..564999|566000..579999</v>
      </c>
      <c r="F105" s="300"/>
      <c r="H105" s="360" t="s">
        <v>364</v>
      </c>
      <c r="N105" s="274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402"/>
      <c r="AC105" s="402"/>
      <c r="AD105" s="402"/>
      <c r="AE105" s="402"/>
      <c r="AF105" s="402"/>
      <c r="AG105" s="402"/>
      <c r="AH105" s="402">
        <f>$Z$296+$Z$297</f>
        <v>0</v>
      </c>
      <c r="AI105" s="402"/>
      <c r="AJ105" s="402"/>
      <c r="AK105" s="402"/>
      <c r="AL105" s="410"/>
      <c r="AM105" s="402"/>
      <c r="AN105" s="402"/>
      <c r="AO105" s="383"/>
      <c r="AP105" s="402"/>
      <c r="AQ105" s="308"/>
      <c r="AR105" s="308"/>
      <c r="AS105" s="403"/>
    </row>
    <row r="106" spans="1:58" hidden="1">
      <c r="B106" s="271" t="s">
        <v>31</v>
      </c>
      <c r="N106" s="274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402"/>
      <c r="AC106" s="402"/>
      <c r="AD106" s="402"/>
      <c r="AE106" s="402"/>
      <c r="AF106" s="402"/>
      <c r="AG106" s="402"/>
      <c r="AH106" s="402"/>
      <c r="AI106" s="402"/>
      <c r="AJ106" s="402"/>
      <c r="AK106" s="402"/>
      <c r="AL106" s="411"/>
      <c r="AM106" s="402"/>
      <c r="AN106" s="402"/>
      <c r="AO106" s="383"/>
      <c r="AP106" s="402"/>
      <c r="AQ106" s="308"/>
      <c r="AR106" s="308"/>
      <c r="AS106" s="403"/>
    </row>
    <row r="107" spans="1:58" hidden="1">
      <c r="B107" s="271" t="s">
        <v>31</v>
      </c>
      <c r="H107" s="272" t="s">
        <v>365</v>
      </c>
      <c r="I107" s="412" t="s">
        <v>366</v>
      </c>
      <c r="N107" s="274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11"/>
      <c r="AM107" s="402"/>
      <c r="AN107" s="402"/>
      <c r="AO107" s="383"/>
      <c r="AP107" s="402"/>
      <c r="AQ107" s="308"/>
      <c r="AR107" s="308"/>
      <c r="AS107" s="403"/>
    </row>
    <row r="108" spans="1:58" ht="15" hidden="1" customHeight="1">
      <c r="B108" s="271" t="str">
        <f>IF(AQ111=0,"Hide","Show")</f>
        <v>Hide</v>
      </c>
      <c r="I108" s="413" t="str">
        <f t="shared" ref="I108:I112" si="25">I107</f>
        <v>52901</v>
      </c>
      <c r="N108" s="274"/>
      <c r="R108" s="414" t="s">
        <v>367</v>
      </c>
      <c r="S108" s="308"/>
      <c r="T108" s="308"/>
      <c r="U108" s="308"/>
      <c r="V108" s="308"/>
      <c r="W108" s="308"/>
      <c r="X108" s="308"/>
      <c r="Y108" s="308"/>
      <c r="Z108" s="308"/>
      <c r="AA108" s="308"/>
      <c r="AB108" s="402"/>
      <c r="AC108" s="402"/>
      <c r="AD108" s="402"/>
      <c r="AE108" s="402"/>
      <c r="AF108" s="402"/>
      <c r="AG108" s="402"/>
      <c r="AH108" s="402"/>
      <c r="AI108" s="402"/>
      <c r="AJ108" s="402"/>
      <c r="AK108" s="402"/>
      <c r="AL108" s="411"/>
      <c r="AM108" s="402"/>
      <c r="AN108" s="402"/>
      <c r="AO108" s="383"/>
      <c r="AP108" s="402"/>
      <c r="AQ108" s="308"/>
      <c r="AR108" s="308"/>
      <c r="AS108" s="403"/>
      <c r="AU108" s="362" t="s">
        <v>301</v>
      </c>
      <c r="AV108" s="362" t="str">
        <f>$V$33</f>
        <v>FY 2012</v>
      </c>
      <c r="AW108" s="362" t="str">
        <f>$X$33</f>
        <v>FY 2013</v>
      </c>
      <c r="AX108" s="362" t="str">
        <f>$Z$33</f>
        <v>FY 2014</v>
      </c>
      <c r="AY108" s="362" t="str">
        <f>$AB$33</f>
        <v>FY - 2015</v>
      </c>
      <c r="AZ108" s="362" t="s">
        <v>327</v>
      </c>
      <c r="BA108" s="362" t="s">
        <v>328</v>
      </c>
      <c r="BB108" s="362" t="s">
        <v>329</v>
      </c>
      <c r="BC108" s="362" t="s">
        <v>330</v>
      </c>
      <c r="BD108" s="362" t="s">
        <v>289</v>
      </c>
      <c r="BE108" s="362" t="s">
        <v>331</v>
      </c>
      <c r="BF108" s="362" t="s">
        <v>332</v>
      </c>
    </row>
    <row r="109" spans="1:58" ht="15.6" hidden="1" customHeight="1">
      <c r="A109" s="271" t="s">
        <v>236</v>
      </c>
      <c r="B109" s="271" t="str">
        <f>IF(AQ109=0,"Hide","Show")</f>
        <v>Hide</v>
      </c>
      <c r="I109" s="413" t="str">
        <f t="shared" si="25"/>
        <v>52901</v>
      </c>
      <c r="K109" s="337" t="s">
        <v>368</v>
      </c>
      <c r="L109" s="275" t="str">
        <f>$F$22</f>
        <v>001</v>
      </c>
      <c r="M109" s="275" t="str">
        <f>$J$7</f>
        <v>10/1/2016..9/30/2017</v>
      </c>
      <c r="N109" s="274" t="str">
        <f>$D$6</f>
        <v>HARMONY CDD</v>
      </c>
      <c r="O109" s="387" t="str">
        <f>IF(I109="","500000 51800",K109&amp;" "&amp;I109)</f>
        <v>531013 52901</v>
      </c>
      <c r="P109" s="283" t="str">
        <f>K109</f>
        <v>531013</v>
      </c>
      <c r="R109" s="389" t="s">
        <v>342</v>
      </c>
      <c r="S109" s="308"/>
      <c r="T109" s="388">
        <v>0</v>
      </c>
      <c r="U109" s="401"/>
      <c r="V109" s="388">
        <v>0</v>
      </c>
      <c r="W109" s="338"/>
      <c r="X109" s="388">
        <v>0</v>
      </c>
      <c r="Y109" s="338"/>
      <c r="Z109" s="388">
        <v>0</v>
      </c>
      <c r="AA109" s="338"/>
      <c r="AB109" s="354">
        <v>0</v>
      </c>
      <c r="AC109" s="351"/>
      <c r="AD109" s="354">
        <v>0</v>
      </c>
      <c r="AE109" s="354"/>
      <c r="AF109" s="354">
        <v>0</v>
      </c>
      <c r="AG109" s="354"/>
      <c r="AH109" s="354">
        <v>0</v>
      </c>
      <c r="AI109" s="354"/>
      <c r="AJ109" s="391">
        <v>0</v>
      </c>
      <c r="AK109" s="354"/>
      <c r="AL109" s="415">
        <f>IF(ISERROR(AH109+AJ109),0,(AH109+AJ109))</f>
        <v>0</v>
      </c>
      <c r="AM109" s="354"/>
      <c r="AN109" s="354">
        <v>0</v>
      </c>
      <c r="AO109" s="354"/>
      <c r="AP109" s="391">
        <f>IF($F$13="YES",AF109,AN109)</f>
        <v>0</v>
      </c>
      <c r="AQ109" s="344">
        <f>ABS(SUMIF(V109:AP109,"&gt;0")-SUMIF(V109:AP109,"&lt;0"))</f>
        <v>0</v>
      </c>
      <c r="AR109" s="308"/>
      <c r="AS109" s="345"/>
    </row>
    <row r="110" spans="1:58" ht="3.95" hidden="1" customHeight="1">
      <c r="B110" s="274" t="s">
        <v>31</v>
      </c>
      <c r="I110" s="413" t="str">
        <f t="shared" si="25"/>
        <v>52901</v>
      </c>
      <c r="N110" s="274"/>
      <c r="P110" s="283"/>
      <c r="R110" s="308"/>
      <c r="S110" s="308"/>
      <c r="T110" s="401"/>
      <c r="U110" s="308"/>
      <c r="V110" s="401"/>
      <c r="W110" s="308"/>
      <c r="X110" s="401"/>
      <c r="Y110" s="308"/>
      <c r="Z110" s="401"/>
      <c r="AA110" s="308"/>
      <c r="AB110" s="383"/>
      <c r="AC110" s="402"/>
      <c r="AD110" s="383"/>
      <c r="AE110" s="402"/>
      <c r="AF110" s="383"/>
      <c r="AG110" s="402"/>
      <c r="AH110" s="383"/>
      <c r="AI110" s="402"/>
      <c r="AJ110" s="383"/>
      <c r="AK110" s="402"/>
      <c r="AL110" s="416"/>
      <c r="AM110" s="402"/>
      <c r="AN110" s="383"/>
      <c r="AO110" s="383"/>
      <c r="AP110" s="383"/>
      <c r="AQ110" s="308"/>
      <c r="AR110" s="308"/>
      <c r="AS110" s="403"/>
    </row>
    <row r="111" spans="1:58" ht="15" hidden="1" customHeight="1">
      <c r="B111" s="271" t="str">
        <f>IF(AQ111=0,"Hide","Show")</f>
        <v>Hide</v>
      </c>
      <c r="I111" s="413" t="str">
        <f t="shared" si="25"/>
        <v>52901</v>
      </c>
      <c r="N111" s="274"/>
      <c r="P111" s="283"/>
      <c r="R111" s="417" t="str">
        <f>"Total "&amp;($R108)</f>
        <v>Total Other Public Safety</v>
      </c>
      <c r="S111" s="308"/>
      <c r="T111" s="393">
        <f>SUM(T109:T110)</f>
        <v>0</v>
      </c>
      <c r="U111" s="322"/>
      <c r="V111" s="393">
        <f>SUM(V109:V110)</f>
        <v>0</v>
      </c>
      <c r="W111" s="404"/>
      <c r="X111" s="393">
        <f>SUM(X109:X110)</f>
        <v>0</v>
      </c>
      <c r="Y111" s="404"/>
      <c r="Z111" s="393">
        <f>SUM(Z109:Z110)</f>
        <v>0</v>
      </c>
      <c r="AA111" s="404"/>
      <c r="AB111" s="394">
        <f>SUM(AB109:AB110)</f>
        <v>0</v>
      </c>
      <c r="AC111" s="405"/>
      <c r="AD111" s="394">
        <f>SUM(AD109:AD110)</f>
        <v>0</v>
      </c>
      <c r="AE111" s="386"/>
      <c r="AF111" s="394">
        <f>SUM(AF109:AF110)</f>
        <v>0</v>
      </c>
      <c r="AG111" s="405"/>
      <c r="AH111" s="394">
        <f>SUM(AH109:AH110)</f>
        <v>0</v>
      </c>
      <c r="AI111" s="405"/>
      <c r="AJ111" s="394">
        <f>SUM(AJ109:AJ110)</f>
        <v>0</v>
      </c>
      <c r="AK111" s="405"/>
      <c r="AL111" s="418">
        <f>SUM(AL109:AL110)</f>
        <v>0</v>
      </c>
      <c r="AM111" s="405"/>
      <c r="AN111" s="394">
        <f>SUM(AN109:AN110)</f>
        <v>0</v>
      </c>
      <c r="AO111" s="405"/>
      <c r="AP111" s="394">
        <f>SUM(AP109:AP110)</f>
        <v>0</v>
      </c>
      <c r="AQ111" s="344">
        <f>ABS(SUMIF(V111:AP111,"&gt;0")-SUMIF(V111:AP111,"&lt;0"))</f>
        <v>0</v>
      </c>
      <c r="AR111" s="308"/>
      <c r="AS111" s="403"/>
      <c r="AU111" s="274">
        <f>SUM(T108:T110)</f>
        <v>0</v>
      </c>
      <c r="AV111" s="274">
        <f>SUM(V108:V110)</f>
        <v>0</v>
      </c>
      <c r="AW111" s="274">
        <f>SUM(X108:X110)</f>
        <v>0</v>
      </c>
      <c r="AX111" s="274">
        <f>SUM(Z108:Z110)</f>
        <v>0</v>
      </c>
      <c r="AY111" s="274">
        <f>SUM(AB108:AB110)</f>
        <v>0</v>
      </c>
      <c r="AZ111" s="274">
        <f>SUM(AD108:AD110)</f>
        <v>0</v>
      </c>
      <c r="BA111" s="274">
        <f>SUM(AF108:AF110)</f>
        <v>0</v>
      </c>
      <c r="BB111" s="274">
        <f>SUM(AH108:AH110)</f>
        <v>0</v>
      </c>
      <c r="BC111" s="274">
        <f>SUM(AJ108:AJ110)</f>
        <v>0</v>
      </c>
      <c r="BD111" s="274">
        <f>SUM(AL108:AL110)</f>
        <v>0</v>
      </c>
      <c r="BE111" s="274">
        <f>SUM(AN108:AN110)</f>
        <v>0</v>
      </c>
      <c r="BF111" s="274">
        <f>SUM(AP108:AP110)</f>
        <v>0</v>
      </c>
    </row>
    <row r="112" spans="1:58" ht="9.9499999999999993" hidden="1" customHeight="1">
      <c r="B112" s="271" t="str">
        <f>B111</f>
        <v>Hide</v>
      </c>
      <c r="I112" s="413" t="str">
        <f t="shared" si="25"/>
        <v>52901</v>
      </c>
      <c r="N112" s="274"/>
      <c r="P112" s="283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2"/>
      <c r="AL112" s="411"/>
      <c r="AM112" s="402"/>
      <c r="AN112" s="402"/>
      <c r="AO112" s="383"/>
      <c r="AP112" s="402"/>
      <c r="AQ112" s="308"/>
      <c r="AR112" s="308"/>
      <c r="AS112" s="403"/>
    </row>
    <row r="113" spans="1:58" hidden="1">
      <c r="A113" s="271" t="s">
        <v>76</v>
      </c>
      <c r="B113" s="271" t="s">
        <v>31</v>
      </c>
      <c r="H113" s="272" t="s">
        <v>365</v>
      </c>
      <c r="I113" s="412" t="str">
        <f>"53901"</f>
        <v>53901</v>
      </c>
      <c r="N113" s="274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02"/>
      <c r="AL113" s="411"/>
      <c r="AM113" s="402"/>
      <c r="AN113" s="402"/>
      <c r="AO113" s="383"/>
      <c r="AP113" s="402"/>
      <c r="AQ113" s="308"/>
      <c r="AR113" s="308"/>
      <c r="AS113" s="403"/>
    </row>
    <row r="114" spans="1:58" ht="15" customHeight="1">
      <c r="A114" s="271" t="s">
        <v>76</v>
      </c>
      <c r="B114" s="271" t="str">
        <f>IF(AQ129=0,"Hide","Show")</f>
        <v>Show</v>
      </c>
      <c r="I114" s="413" t="str">
        <f t="shared" ref="I114:I127" si="26">I113</f>
        <v>53901</v>
      </c>
      <c r="N114" s="274"/>
      <c r="R114" s="414" t="s">
        <v>369</v>
      </c>
      <c r="S114" s="308"/>
      <c r="T114" s="308"/>
      <c r="U114" s="308"/>
      <c r="V114" s="308"/>
      <c r="W114" s="308"/>
      <c r="X114" s="308"/>
      <c r="Y114" s="308"/>
      <c r="Z114" s="308"/>
      <c r="AA114" s="308"/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02"/>
      <c r="AL114" s="402"/>
      <c r="AM114" s="402"/>
      <c r="AN114" s="402"/>
      <c r="AO114" s="383"/>
      <c r="AP114" s="402"/>
      <c r="AQ114" s="308"/>
      <c r="AR114" s="308"/>
      <c r="AS114" s="403"/>
      <c r="AU114" s="362" t="s">
        <v>301</v>
      </c>
      <c r="AV114" s="362" t="str">
        <f>$V$33</f>
        <v>FY 2012</v>
      </c>
      <c r="AW114" s="362" t="str">
        <f>$X$33</f>
        <v>FY 2013</v>
      </c>
      <c r="AX114" s="362" t="str">
        <f>$Z$33</f>
        <v>FY 2014</v>
      </c>
      <c r="AY114" s="362" t="str">
        <f>$AB$33</f>
        <v>FY - 2015</v>
      </c>
      <c r="AZ114" s="362" t="s">
        <v>327</v>
      </c>
      <c r="BA114" s="362" t="s">
        <v>328</v>
      </c>
      <c r="BB114" s="362" t="s">
        <v>329</v>
      </c>
      <c r="BC114" s="362" t="s">
        <v>330</v>
      </c>
      <c r="BD114" s="362" t="s">
        <v>289</v>
      </c>
      <c r="BE114" s="362" t="s">
        <v>331</v>
      </c>
      <c r="BF114" s="362" t="s">
        <v>332</v>
      </c>
    </row>
    <row r="115" spans="1:58" ht="15.6" hidden="1" customHeight="1">
      <c r="A115" s="271" t="s">
        <v>311</v>
      </c>
      <c r="B115" s="271" t="str">
        <f t="shared" ref="B115:B127" si="27">IF(AQ115=0,"Hide","Show")</f>
        <v>Hide</v>
      </c>
      <c r="I115" s="413" t="str">
        <f t="shared" si="26"/>
        <v>53901</v>
      </c>
      <c r="K115" s="337" t="s">
        <v>370</v>
      </c>
      <c r="L115" s="275" t="str">
        <f t="shared" ref="L115:L127" si="28">$F$22</f>
        <v>001</v>
      </c>
      <c r="M115" s="275" t="str">
        <f t="shared" ref="M115:M127" si="29">$J$7</f>
        <v>10/1/2016..9/30/2017</v>
      </c>
      <c r="N115" s="274" t="str">
        <f t="shared" ref="N115:N127" si="30">$D$6</f>
        <v>HARMONY CDD</v>
      </c>
      <c r="O115" s="387" t="str">
        <f t="shared" ref="O115:O127" si="31">IF(I115="","500000 51800",K115&amp;" "&amp;I115)</f>
        <v>512001 53901</v>
      </c>
      <c r="P115" s="283" t="str">
        <f t="shared" ref="P115:P127" si="32">K115</f>
        <v>512001</v>
      </c>
      <c r="R115" s="389" t="s">
        <v>371</v>
      </c>
      <c r="S115" s="308"/>
      <c r="T115" s="388">
        <v>0</v>
      </c>
      <c r="U115" s="401"/>
      <c r="V115" s="388">
        <v>0</v>
      </c>
      <c r="W115" s="338"/>
      <c r="X115" s="388">
        <v>0</v>
      </c>
      <c r="Y115" s="338"/>
      <c r="Z115" s="388">
        <v>0</v>
      </c>
      <c r="AA115" s="338"/>
      <c r="AB115" s="354">
        <v>0</v>
      </c>
      <c r="AC115" s="351"/>
      <c r="AD115" s="354">
        <v>0</v>
      </c>
      <c r="AE115" s="354"/>
      <c r="AF115" s="354">
        <v>0</v>
      </c>
      <c r="AG115" s="354"/>
      <c r="AH115" s="354">
        <v>0</v>
      </c>
      <c r="AI115" s="354"/>
      <c r="AJ115" s="391">
        <v>0</v>
      </c>
      <c r="AK115" s="354"/>
      <c r="AL115" s="350">
        <f t="shared" ref="AL115:AL127" si="33">IF(ISERROR(AH115+AJ115),0,(AH115+AJ115))</f>
        <v>0</v>
      </c>
      <c r="AM115" s="354"/>
      <c r="AN115" s="354">
        <v>0</v>
      </c>
      <c r="AO115" s="354"/>
      <c r="AP115" s="391">
        <f t="shared" ref="AP115:AP117" si="34">IF($F$13="YES",AF115,AN115)</f>
        <v>0</v>
      </c>
      <c r="AQ115" s="344">
        <f t="shared" ref="AQ115:AQ127" si="35">ABS(SUMIF(V115:AP115,"&gt;0")-SUMIF(V115:AP115,"&lt;0"))</f>
        <v>0</v>
      </c>
      <c r="AR115" s="308"/>
      <c r="AS115" s="345"/>
    </row>
    <row r="116" spans="1:58" ht="15.6" hidden="1" customHeight="1">
      <c r="A116" s="271" t="s">
        <v>311</v>
      </c>
      <c r="B116" s="271" t="str">
        <f t="shared" si="27"/>
        <v>Hide</v>
      </c>
      <c r="I116" s="413" t="str">
        <f t="shared" si="26"/>
        <v>53901</v>
      </c>
      <c r="K116" s="337" t="str">
        <f>"531006"</f>
        <v>531006</v>
      </c>
      <c r="L116" s="275" t="str">
        <f t="shared" si="28"/>
        <v>001</v>
      </c>
      <c r="M116" s="275" t="str">
        <f t="shared" si="29"/>
        <v>10/1/2016..9/30/2017</v>
      </c>
      <c r="N116" s="274" t="str">
        <f t="shared" si="30"/>
        <v>HARMONY CDD</v>
      </c>
      <c r="O116" s="387" t="str">
        <f t="shared" si="31"/>
        <v>531006 53901</v>
      </c>
      <c r="P116" s="283" t="str">
        <f t="shared" si="32"/>
        <v>531006</v>
      </c>
      <c r="R116" s="389" t="s">
        <v>372</v>
      </c>
      <c r="S116" s="308"/>
      <c r="T116" s="388">
        <v>0</v>
      </c>
      <c r="U116" s="401"/>
      <c r="V116" s="388">
        <v>0</v>
      </c>
      <c r="W116" s="338"/>
      <c r="X116" s="388">
        <v>0</v>
      </c>
      <c r="Y116" s="338"/>
      <c r="Z116" s="388">
        <v>0</v>
      </c>
      <c r="AA116" s="338"/>
      <c r="AB116" s="354">
        <v>0</v>
      </c>
      <c r="AC116" s="351"/>
      <c r="AD116" s="354">
        <v>0</v>
      </c>
      <c r="AE116" s="354"/>
      <c r="AF116" s="354">
        <v>0</v>
      </c>
      <c r="AG116" s="354"/>
      <c r="AH116" s="354">
        <v>0</v>
      </c>
      <c r="AI116" s="354"/>
      <c r="AJ116" s="391">
        <v>0</v>
      </c>
      <c r="AK116" s="354"/>
      <c r="AL116" s="350">
        <f t="shared" si="33"/>
        <v>0</v>
      </c>
      <c r="AM116" s="354"/>
      <c r="AN116" s="354">
        <v>0</v>
      </c>
      <c r="AO116" s="354"/>
      <c r="AP116" s="391">
        <f t="shared" si="34"/>
        <v>0</v>
      </c>
      <c r="AQ116" s="344">
        <f t="shared" si="35"/>
        <v>0</v>
      </c>
      <c r="AR116" s="308"/>
      <c r="AS116" s="345"/>
    </row>
    <row r="117" spans="1:58" ht="15.6" hidden="1" customHeight="1">
      <c r="A117" s="271" t="s">
        <v>311</v>
      </c>
      <c r="B117" s="271" t="str">
        <f t="shared" si="27"/>
        <v>Hide</v>
      </c>
      <c r="I117" s="413" t="str">
        <f t="shared" si="26"/>
        <v>53901</v>
      </c>
      <c r="K117" s="337" t="str">
        <f>"531013"</f>
        <v>531013</v>
      </c>
      <c r="L117" s="275" t="str">
        <f t="shared" si="28"/>
        <v>001</v>
      </c>
      <c r="M117" s="275" t="str">
        <f t="shared" si="29"/>
        <v>10/1/2016..9/30/2017</v>
      </c>
      <c r="N117" s="274" t="str">
        <f t="shared" si="30"/>
        <v>HARMONY CDD</v>
      </c>
      <c r="O117" s="387" t="str">
        <f t="shared" si="31"/>
        <v>531013 53901</v>
      </c>
      <c r="P117" s="283" t="str">
        <f t="shared" si="32"/>
        <v>531013</v>
      </c>
      <c r="R117" s="389" t="s">
        <v>342</v>
      </c>
      <c r="S117" s="308"/>
      <c r="T117" s="388">
        <v>0</v>
      </c>
      <c r="U117" s="401"/>
      <c r="V117" s="388">
        <v>0</v>
      </c>
      <c r="W117" s="338"/>
      <c r="X117" s="388">
        <v>0</v>
      </c>
      <c r="Y117" s="338"/>
      <c r="Z117" s="388">
        <v>0</v>
      </c>
      <c r="AA117" s="338"/>
      <c r="AB117" s="354">
        <v>0</v>
      </c>
      <c r="AC117" s="351"/>
      <c r="AD117" s="354">
        <v>0</v>
      </c>
      <c r="AE117" s="354"/>
      <c r="AF117" s="354">
        <v>0</v>
      </c>
      <c r="AG117" s="354"/>
      <c r="AH117" s="354">
        <v>0</v>
      </c>
      <c r="AI117" s="354"/>
      <c r="AJ117" s="391">
        <v>0</v>
      </c>
      <c r="AK117" s="354"/>
      <c r="AL117" s="350">
        <f t="shared" si="33"/>
        <v>0</v>
      </c>
      <c r="AM117" s="354"/>
      <c r="AN117" s="354">
        <v>0</v>
      </c>
      <c r="AO117" s="354"/>
      <c r="AP117" s="391">
        <f t="shared" si="34"/>
        <v>0</v>
      </c>
      <c r="AQ117" s="344">
        <f t="shared" si="35"/>
        <v>0</v>
      </c>
      <c r="AR117" s="308"/>
      <c r="AS117" s="345"/>
    </row>
    <row r="118" spans="1:58" ht="15.6" customHeight="1">
      <c r="A118" s="271" t="s">
        <v>311</v>
      </c>
      <c r="B118" s="271" t="str">
        <f t="shared" si="27"/>
        <v>Show</v>
      </c>
      <c r="I118" s="413" t="str">
        <f t="shared" si="26"/>
        <v>53901</v>
      </c>
      <c r="K118" s="337" t="str">
        <f>"531016"</f>
        <v>531016</v>
      </c>
      <c r="L118" s="275" t="str">
        <f t="shared" si="28"/>
        <v>001</v>
      </c>
      <c r="M118" s="275" t="str">
        <f t="shared" si="29"/>
        <v>10/1/2016..9/30/2017</v>
      </c>
      <c r="N118" s="274" t="str">
        <f t="shared" si="30"/>
        <v>HARMONY CDD</v>
      </c>
      <c r="O118" s="387" t="str">
        <f t="shared" si="31"/>
        <v>531016 53901</v>
      </c>
      <c r="P118" s="283" t="str">
        <f t="shared" si="32"/>
        <v>531016</v>
      </c>
      <c r="R118" s="389" t="s">
        <v>373</v>
      </c>
      <c r="S118" s="308"/>
      <c r="T118" s="388">
        <v>75963</v>
      </c>
      <c r="U118" s="401"/>
      <c r="V118" s="388">
        <v>0</v>
      </c>
      <c r="W118" s="338"/>
      <c r="X118" s="388">
        <v>0</v>
      </c>
      <c r="Y118" s="338"/>
      <c r="Z118" s="388">
        <v>0</v>
      </c>
      <c r="AA118" s="338"/>
      <c r="AB118" s="354">
        <v>165998</v>
      </c>
      <c r="AC118" s="351"/>
      <c r="AD118" s="354">
        <v>0</v>
      </c>
      <c r="AE118" s="354"/>
      <c r="AF118" s="354">
        <v>200000</v>
      </c>
      <c r="AG118" s="354"/>
      <c r="AH118" s="354">
        <v>118631</v>
      </c>
      <c r="AI118" s="354"/>
      <c r="AJ118" s="391">
        <f>+AH118/8*4</f>
        <v>59315.5</v>
      </c>
      <c r="AK118" s="354"/>
      <c r="AL118" s="350">
        <f t="shared" si="33"/>
        <v>177946.5</v>
      </c>
      <c r="AM118" s="354"/>
      <c r="AN118" s="354">
        <v>0</v>
      </c>
      <c r="AO118" s="354"/>
      <c r="AP118" s="1456">
        <v>230000</v>
      </c>
      <c r="AQ118" s="344">
        <f t="shared" si="35"/>
        <v>951891</v>
      </c>
      <c r="AR118" s="308"/>
      <c r="AS118" s="1455" t="s">
        <v>7925</v>
      </c>
    </row>
    <row r="119" spans="1:58" ht="15.6" hidden="1" customHeight="1">
      <c r="A119" s="271" t="s">
        <v>311</v>
      </c>
      <c r="B119" s="271" t="str">
        <f t="shared" si="27"/>
        <v>Hide</v>
      </c>
      <c r="I119" s="413" t="str">
        <f t="shared" si="26"/>
        <v>53901</v>
      </c>
      <c r="K119" s="337" t="str">
        <f>"531045"</f>
        <v>531045</v>
      </c>
      <c r="L119" s="275" t="str">
        <f t="shared" si="28"/>
        <v>001</v>
      </c>
      <c r="M119" s="275" t="str">
        <f t="shared" si="29"/>
        <v>10/1/2016..9/30/2017</v>
      </c>
      <c r="N119" s="274" t="str">
        <f t="shared" si="30"/>
        <v>HARMONY CDD</v>
      </c>
      <c r="O119" s="387" t="str">
        <f t="shared" si="31"/>
        <v>531045 53901</v>
      </c>
      <c r="P119" s="283" t="str">
        <f t="shared" si="32"/>
        <v>531045</v>
      </c>
      <c r="R119" s="389" t="s">
        <v>348</v>
      </c>
      <c r="S119" s="308"/>
      <c r="T119" s="388">
        <v>0</v>
      </c>
      <c r="U119" s="401"/>
      <c r="V119" s="388">
        <v>0</v>
      </c>
      <c r="W119" s="338"/>
      <c r="X119" s="388">
        <v>0</v>
      </c>
      <c r="Y119" s="338"/>
      <c r="Z119" s="388">
        <v>0</v>
      </c>
      <c r="AA119" s="338"/>
      <c r="AB119" s="354">
        <v>0</v>
      </c>
      <c r="AC119" s="351"/>
      <c r="AD119" s="354">
        <v>0</v>
      </c>
      <c r="AE119" s="354"/>
      <c r="AF119" s="354">
        <v>0</v>
      </c>
      <c r="AG119" s="354"/>
      <c r="AH119" s="354">
        <v>0</v>
      </c>
      <c r="AI119" s="354"/>
      <c r="AJ119" s="391">
        <v>0</v>
      </c>
      <c r="AK119" s="354"/>
      <c r="AL119" s="350">
        <f t="shared" si="33"/>
        <v>0</v>
      </c>
      <c r="AM119" s="354"/>
      <c r="AN119" s="354">
        <v>0</v>
      </c>
      <c r="AO119" s="354"/>
      <c r="AP119" s="391">
        <f t="shared" ref="AP119:AP126" si="36">IF($F$13="YES",AF119,AN119)</f>
        <v>0</v>
      </c>
      <c r="AQ119" s="344">
        <f t="shared" si="35"/>
        <v>0</v>
      </c>
      <c r="AR119" s="308"/>
      <c r="AS119" s="345"/>
    </row>
    <row r="120" spans="1:58" ht="15.6" hidden="1" customHeight="1">
      <c r="A120" s="271" t="s">
        <v>311</v>
      </c>
      <c r="B120" s="271" t="str">
        <f t="shared" si="27"/>
        <v>Hide</v>
      </c>
      <c r="I120" s="413" t="str">
        <f t="shared" si="26"/>
        <v>53901</v>
      </c>
      <c r="K120" s="337" t="str">
        <f>"543022"</f>
        <v>543022</v>
      </c>
      <c r="L120" s="275" t="str">
        <f t="shared" si="28"/>
        <v>001</v>
      </c>
      <c r="M120" s="275" t="str">
        <f t="shared" si="29"/>
        <v>10/1/2016..9/30/2017</v>
      </c>
      <c r="N120" s="274" t="str">
        <f t="shared" si="30"/>
        <v>HARMONY CDD</v>
      </c>
      <c r="O120" s="387" t="str">
        <f t="shared" si="31"/>
        <v>543022 53901</v>
      </c>
      <c r="P120" s="283" t="str">
        <f t="shared" si="32"/>
        <v>543022</v>
      </c>
      <c r="R120" s="389" t="s">
        <v>374</v>
      </c>
      <c r="S120" s="308"/>
      <c r="T120" s="388">
        <v>0</v>
      </c>
      <c r="U120" s="401"/>
      <c r="V120" s="388">
        <v>0</v>
      </c>
      <c r="W120" s="338"/>
      <c r="X120" s="388">
        <v>0</v>
      </c>
      <c r="Y120" s="338"/>
      <c r="Z120" s="388">
        <v>0</v>
      </c>
      <c r="AA120" s="338"/>
      <c r="AB120" s="354">
        <v>0</v>
      </c>
      <c r="AC120" s="351"/>
      <c r="AD120" s="354">
        <v>0</v>
      </c>
      <c r="AE120" s="354"/>
      <c r="AF120" s="354">
        <v>0</v>
      </c>
      <c r="AG120" s="354"/>
      <c r="AH120" s="354">
        <v>0</v>
      </c>
      <c r="AI120" s="354"/>
      <c r="AJ120" s="391">
        <v>0</v>
      </c>
      <c r="AK120" s="354"/>
      <c r="AL120" s="350">
        <f t="shared" si="33"/>
        <v>0</v>
      </c>
      <c r="AM120" s="354"/>
      <c r="AN120" s="354">
        <v>0</v>
      </c>
      <c r="AO120" s="354"/>
      <c r="AP120" s="391">
        <f t="shared" si="36"/>
        <v>0</v>
      </c>
      <c r="AQ120" s="344">
        <f t="shared" si="35"/>
        <v>0</v>
      </c>
      <c r="AR120" s="308"/>
      <c r="AS120" s="345"/>
    </row>
    <row r="121" spans="1:58" ht="15.6" hidden="1" customHeight="1">
      <c r="A121" s="271" t="s">
        <v>311</v>
      </c>
      <c r="B121" s="271" t="str">
        <f t="shared" si="27"/>
        <v>Hide</v>
      </c>
      <c r="I121" s="413" t="str">
        <f t="shared" si="26"/>
        <v>53901</v>
      </c>
      <c r="K121" s="337" t="str">
        <f>"546016"</f>
        <v>546016</v>
      </c>
      <c r="L121" s="275" t="str">
        <f t="shared" si="28"/>
        <v>001</v>
      </c>
      <c r="M121" s="275" t="str">
        <f t="shared" si="29"/>
        <v>10/1/2016..9/30/2017</v>
      </c>
      <c r="N121" s="274" t="str">
        <f t="shared" si="30"/>
        <v>HARMONY CDD</v>
      </c>
      <c r="O121" s="387" t="str">
        <f t="shared" si="31"/>
        <v>546016 53901</v>
      </c>
      <c r="P121" s="283" t="str">
        <f t="shared" si="32"/>
        <v>546016</v>
      </c>
      <c r="R121" s="389" t="s">
        <v>375</v>
      </c>
      <c r="S121" s="308"/>
      <c r="T121" s="388">
        <v>0</v>
      </c>
      <c r="U121" s="401"/>
      <c r="V121" s="388">
        <v>0</v>
      </c>
      <c r="W121" s="338"/>
      <c r="X121" s="388">
        <v>0</v>
      </c>
      <c r="Y121" s="338"/>
      <c r="Z121" s="388">
        <v>0</v>
      </c>
      <c r="AA121" s="338"/>
      <c r="AB121" s="354">
        <v>0</v>
      </c>
      <c r="AC121" s="351"/>
      <c r="AD121" s="354">
        <v>0</v>
      </c>
      <c r="AE121" s="354"/>
      <c r="AF121" s="354">
        <v>0</v>
      </c>
      <c r="AG121" s="354"/>
      <c r="AH121" s="354">
        <v>0</v>
      </c>
      <c r="AI121" s="354"/>
      <c r="AJ121" s="391">
        <v>0</v>
      </c>
      <c r="AK121" s="354"/>
      <c r="AL121" s="350">
        <f t="shared" si="33"/>
        <v>0</v>
      </c>
      <c r="AM121" s="354"/>
      <c r="AN121" s="354">
        <v>0</v>
      </c>
      <c r="AO121" s="354"/>
      <c r="AP121" s="391">
        <f t="shared" si="36"/>
        <v>0</v>
      </c>
      <c r="AQ121" s="344">
        <f t="shared" si="35"/>
        <v>0</v>
      </c>
      <c r="AR121" s="308"/>
      <c r="AS121" s="345"/>
    </row>
    <row r="122" spans="1:58" ht="15.6" hidden="1" customHeight="1">
      <c r="A122" s="271" t="s">
        <v>311</v>
      </c>
      <c r="B122" s="271" t="str">
        <f t="shared" si="27"/>
        <v>Hide</v>
      </c>
      <c r="I122" s="413" t="str">
        <f t="shared" si="26"/>
        <v>53901</v>
      </c>
      <c r="K122" s="337" t="str">
        <f>"546074"</f>
        <v>546074</v>
      </c>
      <c r="L122" s="275" t="str">
        <f t="shared" si="28"/>
        <v>001</v>
      </c>
      <c r="M122" s="275" t="str">
        <f t="shared" si="29"/>
        <v>10/1/2016..9/30/2017</v>
      </c>
      <c r="N122" s="274" t="str">
        <f t="shared" si="30"/>
        <v>HARMONY CDD</v>
      </c>
      <c r="O122" s="387" t="str">
        <f t="shared" si="31"/>
        <v>546074 53901</v>
      </c>
      <c r="P122" s="283" t="str">
        <f t="shared" si="32"/>
        <v>546074</v>
      </c>
      <c r="R122" s="389" t="s">
        <v>376</v>
      </c>
      <c r="S122" s="308"/>
      <c r="T122" s="388">
        <v>0</v>
      </c>
      <c r="U122" s="401"/>
      <c r="V122" s="388">
        <v>0</v>
      </c>
      <c r="W122" s="338"/>
      <c r="X122" s="388">
        <v>0</v>
      </c>
      <c r="Y122" s="338"/>
      <c r="Z122" s="388">
        <v>0</v>
      </c>
      <c r="AA122" s="338"/>
      <c r="AB122" s="354">
        <v>0</v>
      </c>
      <c r="AC122" s="351"/>
      <c r="AD122" s="354">
        <v>0</v>
      </c>
      <c r="AE122" s="354"/>
      <c r="AF122" s="354">
        <v>0</v>
      </c>
      <c r="AG122" s="354"/>
      <c r="AH122" s="354">
        <v>0</v>
      </c>
      <c r="AI122" s="354"/>
      <c r="AJ122" s="391">
        <v>0</v>
      </c>
      <c r="AK122" s="354"/>
      <c r="AL122" s="350">
        <f t="shared" si="33"/>
        <v>0</v>
      </c>
      <c r="AM122" s="354"/>
      <c r="AN122" s="354">
        <v>0</v>
      </c>
      <c r="AO122" s="354"/>
      <c r="AP122" s="391">
        <f t="shared" si="36"/>
        <v>0</v>
      </c>
      <c r="AQ122" s="344">
        <f t="shared" si="35"/>
        <v>0</v>
      </c>
      <c r="AR122" s="308"/>
      <c r="AS122" s="345"/>
    </row>
    <row r="123" spans="1:58" ht="15.6" hidden="1" customHeight="1">
      <c r="A123" s="271" t="s">
        <v>311</v>
      </c>
      <c r="B123" s="271" t="str">
        <f t="shared" si="27"/>
        <v>Hide</v>
      </c>
      <c r="I123" s="413" t="str">
        <f t="shared" si="26"/>
        <v>53901</v>
      </c>
      <c r="K123" s="337" t="str">
        <f>"546084"</f>
        <v>546084</v>
      </c>
      <c r="L123" s="275" t="str">
        <f t="shared" si="28"/>
        <v>001</v>
      </c>
      <c r="M123" s="275" t="str">
        <f t="shared" si="29"/>
        <v>10/1/2016..9/30/2017</v>
      </c>
      <c r="N123" s="274" t="str">
        <f t="shared" si="30"/>
        <v>HARMONY CDD</v>
      </c>
      <c r="O123" s="387" t="str">
        <f t="shared" si="31"/>
        <v>546084 53901</v>
      </c>
      <c r="P123" s="283" t="str">
        <f t="shared" si="32"/>
        <v>546084</v>
      </c>
      <c r="R123" s="389" t="s">
        <v>377</v>
      </c>
      <c r="S123" s="308"/>
      <c r="T123" s="388">
        <v>0</v>
      </c>
      <c r="U123" s="401"/>
      <c r="V123" s="388">
        <v>0</v>
      </c>
      <c r="W123" s="338"/>
      <c r="X123" s="388">
        <v>0</v>
      </c>
      <c r="Y123" s="338"/>
      <c r="Z123" s="388">
        <v>0</v>
      </c>
      <c r="AA123" s="338"/>
      <c r="AB123" s="354">
        <v>0</v>
      </c>
      <c r="AC123" s="351"/>
      <c r="AD123" s="354">
        <v>0</v>
      </c>
      <c r="AE123" s="354"/>
      <c r="AF123" s="354">
        <v>0</v>
      </c>
      <c r="AG123" s="354"/>
      <c r="AH123" s="354">
        <v>0</v>
      </c>
      <c r="AI123" s="354"/>
      <c r="AJ123" s="391">
        <v>0</v>
      </c>
      <c r="AK123" s="354"/>
      <c r="AL123" s="350">
        <f t="shared" si="33"/>
        <v>0</v>
      </c>
      <c r="AM123" s="354"/>
      <c r="AN123" s="354">
        <v>0</v>
      </c>
      <c r="AO123" s="354"/>
      <c r="AP123" s="391">
        <f t="shared" si="36"/>
        <v>0</v>
      </c>
      <c r="AQ123" s="344">
        <f t="shared" si="35"/>
        <v>0</v>
      </c>
      <c r="AR123" s="308"/>
      <c r="AS123" s="345"/>
    </row>
    <row r="124" spans="1:58" ht="15.6" hidden="1" customHeight="1">
      <c r="A124" s="271" t="s">
        <v>311</v>
      </c>
      <c r="B124" s="271" t="str">
        <f t="shared" si="27"/>
        <v>Hide</v>
      </c>
      <c r="I124" s="413" t="str">
        <f t="shared" si="26"/>
        <v>53901</v>
      </c>
      <c r="K124" s="337" t="str">
        <f>"549001"</f>
        <v>549001</v>
      </c>
      <c r="L124" s="275" t="str">
        <f t="shared" si="28"/>
        <v>001</v>
      </c>
      <c r="M124" s="275" t="str">
        <f t="shared" si="29"/>
        <v>10/1/2016..9/30/2017</v>
      </c>
      <c r="N124" s="274" t="str">
        <f t="shared" si="30"/>
        <v>HARMONY CDD</v>
      </c>
      <c r="O124" s="387" t="str">
        <f t="shared" si="31"/>
        <v>549001 53901</v>
      </c>
      <c r="P124" s="283" t="str">
        <f t="shared" si="32"/>
        <v>549001</v>
      </c>
      <c r="R124" s="389" t="s">
        <v>356</v>
      </c>
      <c r="S124" s="308"/>
      <c r="T124" s="388">
        <v>0</v>
      </c>
      <c r="U124" s="401"/>
      <c r="V124" s="388">
        <v>0</v>
      </c>
      <c r="W124" s="338"/>
      <c r="X124" s="388">
        <v>0</v>
      </c>
      <c r="Y124" s="338"/>
      <c r="Z124" s="388">
        <v>0</v>
      </c>
      <c r="AA124" s="338"/>
      <c r="AB124" s="354">
        <v>0</v>
      </c>
      <c r="AC124" s="351"/>
      <c r="AD124" s="354">
        <v>0</v>
      </c>
      <c r="AE124" s="354"/>
      <c r="AF124" s="354">
        <v>0</v>
      </c>
      <c r="AG124" s="354"/>
      <c r="AH124" s="354">
        <v>0</v>
      </c>
      <c r="AI124" s="354"/>
      <c r="AJ124" s="391">
        <v>0</v>
      </c>
      <c r="AK124" s="354"/>
      <c r="AL124" s="350">
        <f t="shared" si="33"/>
        <v>0</v>
      </c>
      <c r="AM124" s="354"/>
      <c r="AN124" s="354">
        <v>0</v>
      </c>
      <c r="AO124" s="354"/>
      <c r="AP124" s="391">
        <f t="shared" si="36"/>
        <v>0</v>
      </c>
      <c r="AQ124" s="344">
        <f t="shared" si="35"/>
        <v>0</v>
      </c>
      <c r="AR124" s="308"/>
      <c r="AS124" s="345"/>
    </row>
    <row r="125" spans="1:58" ht="15.6" hidden="1" customHeight="1">
      <c r="A125" s="271" t="s">
        <v>311</v>
      </c>
      <c r="B125" s="271" t="str">
        <f t="shared" si="27"/>
        <v>Hide</v>
      </c>
      <c r="I125" s="413" t="str">
        <f t="shared" si="26"/>
        <v>53901</v>
      </c>
      <c r="K125" s="337" t="str">
        <f>"549900"</f>
        <v>549900</v>
      </c>
      <c r="L125" s="275" t="str">
        <f t="shared" si="28"/>
        <v>001</v>
      </c>
      <c r="M125" s="275" t="str">
        <f t="shared" si="29"/>
        <v>10/1/2016..9/30/2017</v>
      </c>
      <c r="N125" s="274" t="str">
        <f t="shared" si="30"/>
        <v>HARMONY CDD</v>
      </c>
      <c r="O125" s="387" t="str">
        <f t="shared" si="31"/>
        <v>549900 53901</v>
      </c>
      <c r="P125" s="283" t="str">
        <f t="shared" si="32"/>
        <v>549900</v>
      </c>
      <c r="R125" s="389" t="s">
        <v>359</v>
      </c>
      <c r="S125" s="308"/>
      <c r="T125" s="388">
        <v>0</v>
      </c>
      <c r="U125" s="401"/>
      <c r="V125" s="388">
        <v>0</v>
      </c>
      <c r="W125" s="338"/>
      <c r="X125" s="388">
        <v>0</v>
      </c>
      <c r="Y125" s="338"/>
      <c r="Z125" s="388">
        <v>0</v>
      </c>
      <c r="AA125" s="338"/>
      <c r="AB125" s="354">
        <v>0</v>
      </c>
      <c r="AC125" s="351"/>
      <c r="AD125" s="354">
        <v>0</v>
      </c>
      <c r="AE125" s="354"/>
      <c r="AF125" s="354">
        <v>0</v>
      </c>
      <c r="AG125" s="354"/>
      <c r="AH125" s="354">
        <v>0</v>
      </c>
      <c r="AI125" s="354"/>
      <c r="AJ125" s="391">
        <v>0</v>
      </c>
      <c r="AK125" s="354"/>
      <c r="AL125" s="350">
        <f t="shared" si="33"/>
        <v>0</v>
      </c>
      <c r="AM125" s="354"/>
      <c r="AN125" s="354">
        <v>0</v>
      </c>
      <c r="AO125" s="354"/>
      <c r="AP125" s="391">
        <f t="shared" si="36"/>
        <v>0</v>
      </c>
      <c r="AQ125" s="344">
        <f t="shared" si="35"/>
        <v>0</v>
      </c>
      <c r="AR125" s="308"/>
      <c r="AS125" s="345"/>
    </row>
    <row r="126" spans="1:58" ht="15.6" hidden="1" customHeight="1">
      <c r="A126" s="271" t="s">
        <v>311</v>
      </c>
      <c r="B126" s="271" t="str">
        <f t="shared" si="27"/>
        <v>Hide</v>
      </c>
      <c r="I126" s="413" t="str">
        <f t="shared" si="26"/>
        <v>53901</v>
      </c>
      <c r="K126" s="337" t="str">
        <f>"551002"</f>
        <v>551002</v>
      </c>
      <c r="L126" s="275" t="str">
        <f t="shared" si="28"/>
        <v>001</v>
      </c>
      <c r="M126" s="275" t="str">
        <f t="shared" si="29"/>
        <v>10/1/2016..9/30/2017</v>
      </c>
      <c r="N126" s="274" t="str">
        <f t="shared" si="30"/>
        <v>HARMONY CDD</v>
      </c>
      <c r="O126" s="387" t="str">
        <f t="shared" si="31"/>
        <v>551002 53901</v>
      </c>
      <c r="P126" s="283" t="str">
        <f t="shared" si="32"/>
        <v>551002</v>
      </c>
      <c r="R126" s="389" t="s">
        <v>360</v>
      </c>
      <c r="S126" s="308"/>
      <c r="T126" s="388">
        <v>0</v>
      </c>
      <c r="U126" s="401"/>
      <c r="V126" s="388">
        <v>0</v>
      </c>
      <c r="W126" s="338"/>
      <c r="X126" s="388">
        <v>0</v>
      </c>
      <c r="Y126" s="338"/>
      <c r="Z126" s="388">
        <v>0</v>
      </c>
      <c r="AA126" s="338"/>
      <c r="AB126" s="354">
        <v>0</v>
      </c>
      <c r="AC126" s="351"/>
      <c r="AD126" s="354">
        <v>0</v>
      </c>
      <c r="AE126" s="354"/>
      <c r="AF126" s="354">
        <v>0</v>
      </c>
      <c r="AG126" s="354"/>
      <c r="AH126" s="354">
        <v>0</v>
      </c>
      <c r="AI126" s="354"/>
      <c r="AJ126" s="391">
        <v>0</v>
      </c>
      <c r="AK126" s="354"/>
      <c r="AL126" s="350">
        <f t="shared" si="33"/>
        <v>0</v>
      </c>
      <c r="AM126" s="354"/>
      <c r="AN126" s="354">
        <v>0</v>
      </c>
      <c r="AO126" s="354"/>
      <c r="AP126" s="391">
        <f t="shared" si="36"/>
        <v>0</v>
      </c>
      <c r="AQ126" s="344">
        <f t="shared" si="35"/>
        <v>0</v>
      </c>
      <c r="AR126" s="308"/>
      <c r="AS126" s="345"/>
    </row>
    <row r="127" spans="1:58" ht="15.6" customHeight="1">
      <c r="A127" s="271" t="s">
        <v>311</v>
      </c>
      <c r="B127" s="271" t="str">
        <f t="shared" si="27"/>
        <v>Show</v>
      </c>
      <c r="I127" s="413" t="str">
        <f t="shared" si="26"/>
        <v>53901</v>
      </c>
      <c r="K127" s="337" t="str">
        <f>"564002"</f>
        <v>564002</v>
      </c>
      <c r="L127" s="275" t="str">
        <f t="shared" si="28"/>
        <v>001</v>
      </c>
      <c r="M127" s="275" t="str">
        <f t="shared" si="29"/>
        <v>10/1/2016..9/30/2017</v>
      </c>
      <c r="N127" s="274" t="str">
        <f t="shared" si="30"/>
        <v>HARMONY CDD</v>
      </c>
      <c r="O127" s="387" t="str">
        <f t="shared" si="31"/>
        <v>564002 53901</v>
      </c>
      <c r="P127" s="283" t="str">
        <f t="shared" si="32"/>
        <v>564002</v>
      </c>
      <c r="R127" s="389" t="s">
        <v>378</v>
      </c>
      <c r="S127" s="308"/>
      <c r="T127" s="388">
        <v>0</v>
      </c>
      <c r="U127" s="401"/>
      <c r="V127" s="388">
        <v>0</v>
      </c>
      <c r="W127" s="338"/>
      <c r="X127" s="388">
        <v>0</v>
      </c>
      <c r="Y127" s="338"/>
      <c r="Z127" s="388">
        <v>0</v>
      </c>
      <c r="AA127" s="338"/>
      <c r="AB127" s="354">
        <v>2008</v>
      </c>
      <c r="AC127" s="351"/>
      <c r="AD127" s="354">
        <v>0</v>
      </c>
      <c r="AE127" s="354"/>
      <c r="AF127" s="354">
        <v>0</v>
      </c>
      <c r="AG127" s="354"/>
      <c r="AH127" s="354">
        <v>0</v>
      </c>
      <c r="AI127" s="354"/>
      <c r="AJ127" s="391">
        <v>0</v>
      </c>
      <c r="AK127" s="354"/>
      <c r="AL127" s="350">
        <f t="shared" si="33"/>
        <v>0</v>
      </c>
      <c r="AM127" s="354"/>
      <c r="AN127" s="354">
        <v>0</v>
      </c>
      <c r="AO127" s="354"/>
      <c r="AP127" s="391">
        <v>0</v>
      </c>
      <c r="AQ127" s="344">
        <f t="shared" si="35"/>
        <v>2008</v>
      </c>
      <c r="AR127" s="308"/>
      <c r="AS127" s="345"/>
    </row>
    <row r="128" spans="1:58" ht="3.95" hidden="1" customHeight="1">
      <c r="A128" s="271" t="s">
        <v>76</v>
      </c>
      <c r="B128" s="274" t="s">
        <v>31</v>
      </c>
      <c r="I128" s="413" t="str">
        <f>I115</f>
        <v>53901</v>
      </c>
      <c r="N128" s="274"/>
      <c r="P128" s="283"/>
      <c r="R128" s="308"/>
      <c r="S128" s="308"/>
      <c r="T128" s="401"/>
      <c r="U128" s="308"/>
      <c r="V128" s="401"/>
      <c r="W128" s="308"/>
      <c r="X128" s="401"/>
      <c r="Y128" s="308"/>
      <c r="Z128" s="401"/>
      <c r="AA128" s="308"/>
      <c r="AB128" s="383"/>
      <c r="AC128" s="402"/>
      <c r="AD128" s="383"/>
      <c r="AE128" s="402"/>
      <c r="AF128" s="383"/>
      <c r="AG128" s="402"/>
      <c r="AH128" s="383"/>
      <c r="AI128" s="402"/>
      <c r="AJ128" s="383"/>
      <c r="AK128" s="402"/>
      <c r="AL128" s="383"/>
      <c r="AM128" s="402"/>
      <c r="AN128" s="383"/>
      <c r="AO128" s="383"/>
      <c r="AP128" s="383"/>
      <c r="AQ128" s="308"/>
      <c r="AR128" s="308"/>
      <c r="AS128" s="403"/>
    </row>
    <row r="129" spans="1:58" ht="15" customHeight="1">
      <c r="A129" s="271" t="s">
        <v>76</v>
      </c>
      <c r="B129" s="271" t="str">
        <f>IF(AQ129=0,"Hide","Show")</f>
        <v>Show</v>
      </c>
      <c r="I129" s="413" t="str">
        <f t="shared" ref="I129:I130" si="37">I128</f>
        <v>53901</v>
      </c>
      <c r="N129" s="274"/>
      <c r="P129" s="283"/>
      <c r="R129" s="417" t="str">
        <f>"Total "&amp;($R114)</f>
        <v>Total Field</v>
      </c>
      <c r="S129" s="308"/>
      <c r="T129" s="393">
        <f>SUM(T115:T128)</f>
        <v>75963</v>
      </c>
      <c r="U129" s="322"/>
      <c r="V129" s="393">
        <f>SUM(V115:V128)</f>
        <v>0</v>
      </c>
      <c r="W129" s="404"/>
      <c r="X129" s="393">
        <f>SUM(X115:X128)</f>
        <v>0</v>
      </c>
      <c r="Y129" s="404"/>
      <c r="Z129" s="393">
        <f>SUM(Z115:Z128)</f>
        <v>0</v>
      </c>
      <c r="AA129" s="404"/>
      <c r="AB129" s="394">
        <f>SUM(AB115:AB128)</f>
        <v>168006</v>
      </c>
      <c r="AC129" s="405"/>
      <c r="AD129" s="394">
        <f>SUM(AD115:AD128)</f>
        <v>0</v>
      </c>
      <c r="AE129" s="386"/>
      <c r="AF129" s="394">
        <f>SUM(AF115:AF128)</f>
        <v>200000</v>
      </c>
      <c r="AG129" s="405"/>
      <c r="AH129" s="394">
        <f>SUM(AH115:AH128)</f>
        <v>118631</v>
      </c>
      <c r="AI129" s="405"/>
      <c r="AJ129" s="394">
        <f>SUM(AJ115:AJ128)</f>
        <v>59315.5</v>
      </c>
      <c r="AK129" s="405"/>
      <c r="AL129" s="394">
        <f>SUM(AL115:AL128)</f>
        <v>177946.5</v>
      </c>
      <c r="AM129" s="405"/>
      <c r="AN129" s="394">
        <f>SUM(AN115:AN128)</f>
        <v>0</v>
      </c>
      <c r="AO129" s="405"/>
      <c r="AP129" s="394">
        <f>SUM(AP115:AP128)</f>
        <v>230000</v>
      </c>
      <c r="AQ129" s="344">
        <f>ABS(SUMIF(V129:AP129,"&gt;0")-SUMIF(V129:AP129,"&lt;0"))</f>
        <v>953899</v>
      </c>
      <c r="AR129" s="308"/>
      <c r="AS129" s="403"/>
      <c r="AU129" s="274">
        <f>SUM(T114:T128)</f>
        <v>75963</v>
      </c>
      <c r="AV129" s="274">
        <f>SUM(V114:V128)</f>
        <v>0</v>
      </c>
      <c r="AW129" s="274">
        <f>SUM(X114:X128)</f>
        <v>0</v>
      </c>
      <c r="AX129" s="274">
        <f>SUM(Z114:Z128)</f>
        <v>0</v>
      </c>
      <c r="AY129" s="274">
        <f>SUM(AB114:AB128)</f>
        <v>168006</v>
      </c>
      <c r="AZ129" s="274">
        <f>SUM(AD114:AD128)</f>
        <v>0</v>
      </c>
      <c r="BA129" s="274">
        <f>SUM(AF114:AF128)</f>
        <v>200000</v>
      </c>
      <c r="BB129" s="274">
        <f>SUM(AH114:AH128)</f>
        <v>118631</v>
      </c>
      <c r="BC129" s="274">
        <f>SUM(AJ114:AJ128)</f>
        <v>59315.5</v>
      </c>
      <c r="BD129" s="274">
        <f>SUM(AL114:AL128)</f>
        <v>177946.5</v>
      </c>
      <c r="BE129" s="274">
        <f>SUM(AN114:AN128)</f>
        <v>0</v>
      </c>
      <c r="BF129" s="274">
        <f>SUM(AP114:AP128)</f>
        <v>230000</v>
      </c>
    </row>
    <row r="130" spans="1:58" ht="15.6" customHeight="1">
      <c r="A130" s="271" t="s">
        <v>76</v>
      </c>
      <c r="B130" s="271" t="str">
        <f>B129</f>
        <v>Show</v>
      </c>
      <c r="I130" s="413" t="str">
        <f t="shared" si="37"/>
        <v>53901</v>
      </c>
      <c r="N130" s="274"/>
      <c r="P130" s="283"/>
      <c r="R130" s="407" t="s">
        <v>333</v>
      </c>
      <c r="S130" s="308"/>
      <c r="T130" s="308"/>
      <c r="U130" s="308"/>
      <c r="V130" s="308"/>
      <c r="W130" s="308"/>
      <c r="X130" s="308"/>
      <c r="Y130" s="308"/>
      <c r="Z130" s="308"/>
      <c r="AA130" s="308"/>
      <c r="AB130" s="402"/>
      <c r="AC130" s="402"/>
      <c r="AD130" s="402"/>
      <c r="AE130" s="402"/>
      <c r="AF130" s="402"/>
      <c r="AG130" s="402"/>
      <c r="AH130" s="402"/>
      <c r="AI130" s="402"/>
      <c r="AJ130" s="402"/>
      <c r="AK130" s="402"/>
      <c r="AL130" s="408">
        <f>AF129-AL129</f>
        <v>22053.5</v>
      </c>
      <c r="AM130" s="402"/>
      <c r="AN130" s="402"/>
      <c r="AO130" s="383"/>
      <c r="AP130" s="402"/>
      <c r="AQ130" s="308"/>
      <c r="AR130" s="308"/>
      <c r="AS130" s="409" t="s">
        <v>363</v>
      </c>
    </row>
    <row r="131" spans="1:58" hidden="1">
      <c r="A131" s="271" t="s">
        <v>76</v>
      </c>
      <c r="B131" s="271" t="s">
        <v>31</v>
      </c>
      <c r="H131" s="272" t="s">
        <v>365</v>
      </c>
      <c r="I131" s="412" t="str">
        <f>"53902"</f>
        <v>53902</v>
      </c>
      <c r="N131" s="274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402"/>
      <c r="AC131" s="402"/>
      <c r="AD131" s="402"/>
      <c r="AE131" s="402"/>
      <c r="AF131" s="402"/>
      <c r="AG131" s="402"/>
      <c r="AH131" s="402"/>
      <c r="AI131" s="402"/>
      <c r="AJ131" s="402"/>
      <c r="AK131" s="402"/>
      <c r="AL131" s="402"/>
      <c r="AM131" s="402"/>
      <c r="AN131" s="402"/>
      <c r="AO131" s="383"/>
      <c r="AP131" s="402"/>
      <c r="AQ131" s="308"/>
      <c r="AR131" s="308"/>
      <c r="AS131" s="403"/>
    </row>
    <row r="132" spans="1:58" s="272" customFormat="1" ht="15" customHeight="1">
      <c r="A132" s="272" t="s">
        <v>76</v>
      </c>
      <c r="B132" s="272" t="str">
        <f>IF(AQ154=0,"Hide","Show")</f>
        <v>Show</v>
      </c>
      <c r="I132" s="419" t="str">
        <f t="shared" ref="I132:I152" si="38">I131</f>
        <v>53902</v>
      </c>
      <c r="K132" s="406"/>
      <c r="R132" s="414" t="s">
        <v>379</v>
      </c>
      <c r="S132" s="322"/>
      <c r="T132" s="322"/>
      <c r="U132" s="322"/>
      <c r="V132" s="322"/>
      <c r="W132" s="322"/>
      <c r="X132" s="322"/>
      <c r="Y132" s="322"/>
      <c r="Z132" s="322"/>
      <c r="AA132" s="322"/>
      <c r="AB132" s="352"/>
      <c r="AC132" s="352"/>
      <c r="AD132" s="352"/>
      <c r="AE132" s="352"/>
      <c r="AF132" s="352"/>
      <c r="AG132" s="352"/>
      <c r="AH132" s="352"/>
      <c r="AI132" s="352"/>
      <c r="AJ132" s="352"/>
      <c r="AK132" s="352"/>
      <c r="AL132" s="352"/>
      <c r="AM132" s="352"/>
      <c r="AN132" s="352"/>
      <c r="AO132" s="386"/>
      <c r="AP132" s="352"/>
      <c r="AQ132" s="322"/>
      <c r="AR132" s="322"/>
      <c r="AS132" s="420"/>
      <c r="AU132" s="421" t="s">
        <v>301</v>
      </c>
      <c r="AV132" s="421" t="str">
        <f>$V$33</f>
        <v>FY 2012</v>
      </c>
      <c r="AW132" s="421" t="str">
        <f>$X$33</f>
        <v>FY 2013</v>
      </c>
      <c r="AX132" s="421" t="str">
        <f>$Z$33</f>
        <v>FY 2014</v>
      </c>
      <c r="AY132" s="421" t="str">
        <f>$AB$33</f>
        <v>FY - 2015</v>
      </c>
      <c r="AZ132" s="421" t="s">
        <v>327</v>
      </c>
      <c r="BA132" s="421" t="s">
        <v>328</v>
      </c>
      <c r="BB132" s="421" t="s">
        <v>329</v>
      </c>
      <c r="BC132" s="421" t="s">
        <v>330</v>
      </c>
      <c r="BD132" s="421" t="s">
        <v>289</v>
      </c>
      <c r="BE132" s="421" t="s">
        <v>331</v>
      </c>
      <c r="BF132" s="421" t="s">
        <v>332</v>
      </c>
    </row>
    <row r="133" spans="1:58" ht="15.6" customHeight="1">
      <c r="A133" s="271" t="s">
        <v>311</v>
      </c>
      <c r="B133" s="271" t="str">
        <f t="shared" ref="B133:B152" si="39">IF(AQ133=0,"Hide","Show")</f>
        <v>Show</v>
      </c>
      <c r="I133" s="413" t="str">
        <f t="shared" si="38"/>
        <v>53902</v>
      </c>
      <c r="K133" s="337" t="s">
        <v>380</v>
      </c>
      <c r="L133" s="275" t="str">
        <f t="shared" ref="L133:L152" si="40">$F$22</f>
        <v>001</v>
      </c>
      <c r="M133" s="275" t="str">
        <f t="shared" ref="M133:M152" si="41">$J$7</f>
        <v>10/1/2016..9/30/2017</v>
      </c>
      <c r="N133" s="274" t="str">
        <f t="shared" ref="N133:N152" si="42">$D$6</f>
        <v>HARMONY CDD</v>
      </c>
      <c r="O133" s="387" t="str">
        <f t="shared" ref="O133:O152" si="43">IF(I133="","500000 51800",K133&amp;" "&amp;I133)</f>
        <v>534085 53902</v>
      </c>
      <c r="P133" s="283" t="str">
        <f t="shared" ref="P133:P152" si="44">K133</f>
        <v>534085</v>
      </c>
      <c r="R133" s="389" t="s">
        <v>381</v>
      </c>
      <c r="S133" s="308"/>
      <c r="T133" s="388">
        <v>8622</v>
      </c>
      <c r="U133" s="401"/>
      <c r="V133" s="388">
        <v>0</v>
      </c>
      <c r="W133" s="338"/>
      <c r="X133" s="388">
        <v>0</v>
      </c>
      <c r="Y133" s="338"/>
      <c r="Z133" s="388">
        <v>0</v>
      </c>
      <c r="AA133" s="338"/>
      <c r="AB133" s="354">
        <v>20286</v>
      </c>
      <c r="AC133" s="351"/>
      <c r="AD133" s="354">
        <v>0</v>
      </c>
      <c r="AE133" s="354"/>
      <c r="AF133" s="354">
        <v>20692</v>
      </c>
      <c r="AG133" s="354"/>
      <c r="AH133" s="354">
        <v>13795</v>
      </c>
      <c r="AI133" s="354"/>
      <c r="AJ133" s="391">
        <f>ROUND((13794.64/8)*12,0)-AH133</f>
        <v>6897</v>
      </c>
      <c r="AK133" s="354"/>
      <c r="AL133" s="350">
        <f t="shared" ref="AL133:AL152" si="45">IF(ISERROR(AH133+AJ133),0,(AH133+AJ133))</f>
        <v>20692</v>
      </c>
      <c r="AM133" s="354"/>
      <c r="AN133" s="354">
        <v>0</v>
      </c>
      <c r="AO133" s="354"/>
      <c r="AP133" s="391">
        <f>ROUND((12070.31/7)*12,0)</f>
        <v>20692</v>
      </c>
      <c r="AQ133" s="344">
        <f t="shared" ref="AQ133:AQ152" si="46">ABS(SUMIF(V133:AP133,"&gt;0")-SUMIF(V133:AP133,"&lt;0"))</f>
        <v>103054</v>
      </c>
      <c r="AR133" s="308"/>
      <c r="AS133" s="345"/>
    </row>
    <row r="134" spans="1:58" ht="15.6" hidden="1" customHeight="1">
      <c r="A134" s="271" t="s">
        <v>311</v>
      </c>
      <c r="B134" s="271" t="str">
        <f t="shared" si="39"/>
        <v>Hide</v>
      </c>
      <c r="I134" s="413" t="str">
        <f t="shared" si="38"/>
        <v>53902</v>
      </c>
      <c r="K134" s="337" t="str">
        <f>"534116"</f>
        <v>534116</v>
      </c>
      <c r="L134" s="275" t="str">
        <f t="shared" si="40"/>
        <v>001</v>
      </c>
      <c r="M134" s="275" t="str">
        <f t="shared" si="41"/>
        <v>10/1/2016..9/30/2017</v>
      </c>
      <c r="N134" s="274" t="str">
        <f t="shared" si="42"/>
        <v>HARMONY CDD</v>
      </c>
      <c r="O134" s="387" t="str">
        <f t="shared" si="43"/>
        <v>534116 53902</v>
      </c>
      <c r="P134" s="283" t="str">
        <f t="shared" si="44"/>
        <v>534116</v>
      </c>
      <c r="R134" s="389" t="s">
        <v>382</v>
      </c>
      <c r="S134" s="308"/>
      <c r="T134" s="388">
        <v>0</v>
      </c>
      <c r="U134" s="401"/>
      <c r="V134" s="388">
        <v>0</v>
      </c>
      <c r="W134" s="338"/>
      <c r="X134" s="388">
        <v>0</v>
      </c>
      <c r="Y134" s="338"/>
      <c r="Z134" s="388">
        <v>0</v>
      </c>
      <c r="AA134" s="338"/>
      <c r="AB134" s="354">
        <v>0</v>
      </c>
      <c r="AC134" s="351"/>
      <c r="AD134" s="354">
        <v>0</v>
      </c>
      <c r="AE134" s="354"/>
      <c r="AF134" s="354">
        <v>0</v>
      </c>
      <c r="AG134" s="354"/>
      <c r="AH134" s="354">
        <v>0</v>
      </c>
      <c r="AI134" s="354"/>
      <c r="AJ134" s="391">
        <v>0</v>
      </c>
      <c r="AK134" s="354"/>
      <c r="AL134" s="350">
        <f t="shared" si="45"/>
        <v>0</v>
      </c>
      <c r="AM134" s="354"/>
      <c r="AN134" s="354">
        <v>0</v>
      </c>
      <c r="AO134" s="354"/>
      <c r="AP134" s="391">
        <v>0</v>
      </c>
      <c r="AQ134" s="344">
        <f t="shared" si="46"/>
        <v>0</v>
      </c>
      <c r="AR134" s="308"/>
      <c r="AS134" s="345"/>
    </row>
    <row r="135" spans="1:58" ht="15.6" customHeight="1">
      <c r="A135" s="271" t="s">
        <v>311</v>
      </c>
      <c r="B135" s="271" t="str">
        <f t="shared" si="39"/>
        <v>Show</v>
      </c>
      <c r="I135" s="413" t="str">
        <f t="shared" si="38"/>
        <v>53902</v>
      </c>
      <c r="K135" s="337" t="str">
        <f>"534148"</f>
        <v>534148</v>
      </c>
      <c r="L135" s="275" t="str">
        <f t="shared" si="40"/>
        <v>001</v>
      </c>
      <c r="M135" s="275" t="str">
        <f t="shared" si="41"/>
        <v>10/1/2016..9/30/2017</v>
      </c>
      <c r="N135" s="274" t="str">
        <f t="shared" si="42"/>
        <v>HARMONY CDD</v>
      </c>
      <c r="O135" s="387" t="str">
        <f t="shared" si="43"/>
        <v>534148 53902</v>
      </c>
      <c r="P135" s="283" t="str">
        <f t="shared" si="44"/>
        <v>534148</v>
      </c>
      <c r="R135" s="389" t="s">
        <v>383</v>
      </c>
      <c r="S135" s="308"/>
      <c r="T135" s="388">
        <v>50724</v>
      </c>
      <c r="U135" s="401"/>
      <c r="V135" s="388">
        <v>0</v>
      </c>
      <c r="W135" s="338"/>
      <c r="X135" s="388">
        <v>0</v>
      </c>
      <c r="Y135" s="338"/>
      <c r="Z135" s="388">
        <v>0</v>
      </c>
      <c r="AA135" s="338"/>
      <c r="AB135" s="354">
        <v>119351</v>
      </c>
      <c r="AC135" s="351"/>
      <c r="AD135" s="354">
        <v>0</v>
      </c>
      <c r="AE135" s="354"/>
      <c r="AF135" s="354">
        <v>121738</v>
      </c>
      <c r="AG135" s="354"/>
      <c r="AH135" s="354">
        <v>81159</v>
      </c>
      <c r="AI135" s="354"/>
      <c r="AJ135" s="391">
        <f>ROUND((81158.64/8)*12,0)-AH135</f>
        <v>40579</v>
      </c>
      <c r="AK135" s="354"/>
      <c r="AL135" s="350">
        <f t="shared" si="45"/>
        <v>121738</v>
      </c>
      <c r="AM135" s="354"/>
      <c r="AN135" s="354">
        <v>0</v>
      </c>
      <c r="AO135" s="354"/>
      <c r="AP135" s="391">
        <f>ROUND((71013.81/7)*12,0)</f>
        <v>121738</v>
      </c>
      <c r="AQ135" s="344">
        <f t="shared" si="46"/>
        <v>606303</v>
      </c>
      <c r="AR135" s="308"/>
      <c r="AS135" s="345"/>
    </row>
    <row r="136" spans="1:58" ht="15.6" customHeight="1">
      <c r="A136" s="271" t="s">
        <v>311</v>
      </c>
      <c r="B136" s="271" t="str">
        <f t="shared" si="39"/>
        <v>Show</v>
      </c>
      <c r="I136" s="413" t="str">
        <f t="shared" si="38"/>
        <v>53902</v>
      </c>
      <c r="K136" s="337" t="str">
        <f>"534150"</f>
        <v>534150</v>
      </c>
      <c r="L136" s="275" t="str">
        <f t="shared" si="40"/>
        <v>001</v>
      </c>
      <c r="M136" s="275" t="str">
        <f t="shared" si="41"/>
        <v>10/1/2016..9/30/2017</v>
      </c>
      <c r="N136" s="274" t="str">
        <f t="shared" si="42"/>
        <v>HARMONY CDD</v>
      </c>
      <c r="O136" s="387" t="str">
        <f t="shared" si="43"/>
        <v>534150 53902</v>
      </c>
      <c r="P136" s="283" t="str">
        <f t="shared" si="44"/>
        <v>534150</v>
      </c>
      <c r="R136" s="389" t="s">
        <v>384</v>
      </c>
      <c r="S136" s="308"/>
      <c r="T136" s="388">
        <v>13389</v>
      </c>
      <c r="U136" s="401"/>
      <c r="V136" s="388">
        <v>0</v>
      </c>
      <c r="W136" s="338"/>
      <c r="X136" s="388">
        <v>0</v>
      </c>
      <c r="Y136" s="338"/>
      <c r="Z136" s="388">
        <v>0</v>
      </c>
      <c r="AA136" s="338"/>
      <c r="AB136" s="354">
        <v>21962</v>
      </c>
      <c r="AC136" s="351"/>
      <c r="AD136" s="354">
        <v>0</v>
      </c>
      <c r="AE136" s="354"/>
      <c r="AF136" s="354">
        <v>22400</v>
      </c>
      <c r="AG136" s="354"/>
      <c r="AH136" s="354">
        <v>25073</v>
      </c>
      <c r="AI136" s="354"/>
      <c r="AJ136" s="391">
        <f>ROUND((1866.67*12+2028*9),0)-AH136</f>
        <v>15579</v>
      </c>
      <c r="AK136" s="354"/>
      <c r="AL136" s="350">
        <f t="shared" si="45"/>
        <v>40652</v>
      </c>
      <c r="AM136" s="354"/>
      <c r="AN136" s="354">
        <v>0</v>
      </c>
      <c r="AO136" s="354"/>
      <c r="AP136" s="391">
        <f>ROUND((1866.67+2028)*12,0)</f>
        <v>46736</v>
      </c>
      <c r="AQ136" s="344">
        <f t="shared" si="46"/>
        <v>172402</v>
      </c>
      <c r="AR136" s="308"/>
      <c r="AS136" s="345"/>
    </row>
    <row r="137" spans="1:58" ht="15.6" customHeight="1">
      <c r="A137" s="271" t="s">
        <v>311</v>
      </c>
      <c r="B137" s="271" t="str">
        <f t="shared" si="39"/>
        <v>Show</v>
      </c>
      <c r="I137" s="413" t="str">
        <f t="shared" si="38"/>
        <v>53902</v>
      </c>
      <c r="K137" s="337" t="str">
        <f>"534155"</f>
        <v>534155</v>
      </c>
      <c r="L137" s="275" t="str">
        <f t="shared" si="40"/>
        <v>001</v>
      </c>
      <c r="M137" s="275" t="str">
        <f t="shared" si="41"/>
        <v>10/1/2016..9/30/2017</v>
      </c>
      <c r="N137" s="274" t="str">
        <f t="shared" si="42"/>
        <v>HARMONY CDD</v>
      </c>
      <c r="O137" s="387" t="str">
        <f t="shared" si="43"/>
        <v>534155 53902</v>
      </c>
      <c r="P137" s="283" t="str">
        <f t="shared" si="44"/>
        <v>534155</v>
      </c>
      <c r="R137" s="389" t="s">
        <v>385</v>
      </c>
      <c r="S137" s="308"/>
      <c r="T137" s="388">
        <v>110110</v>
      </c>
      <c r="U137" s="401"/>
      <c r="V137" s="388">
        <v>0</v>
      </c>
      <c r="W137" s="338"/>
      <c r="X137" s="388">
        <v>0</v>
      </c>
      <c r="Y137" s="338"/>
      <c r="Z137" s="388">
        <v>0</v>
      </c>
      <c r="AA137" s="338"/>
      <c r="AB137" s="354">
        <v>259866</v>
      </c>
      <c r="AC137" s="351"/>
      <c r="AD137" s="354">
        <v>0</v>
      </c>
      <c r="AE137" s="354"/>
      <c r="AF137" s="354">
        <v>265063</v>
      </c>
      <c r="AG137" s="354"/>
      <c r="AH137" s="354">
        <v>176125</v>
      </c>
      <c r="AI137" s="354"/>
      <c r="AJ137" s="391">
        <f>ROUND(22005.25*12,0)-AH137</f>
        <v>87938</v>
      </c>
      <c r="AK137" s="354"/>
      <c r="AL137" s="350">
        <f t="shared" si="45"/>
        <v>264063</v>
      </c>
      <c r="AM137" s="354"/>
      <c r="AN137" s="354">
        <v>0</v>
      </c>
      <c r="AO137" s="354"/>
      <c r="AP137" s="1456">
        <v>290000</v>
      </c>
      <c r="AQ137" s="344">
        <f t="shared" si="46"/>
        <v>1343055</v>
      </c>
      <c r="AR137" s="308"/>
      <c r="AS137" s="345" t="s">
        <v>386</v>
      </c>
    </row>
    <row r="138" spans="1:58" ht="15.6" hidden="1" customHeight="1">
      <c r="A138" s="271" t="s">
        <v>311</v>
      </c>
      <c r="B138" s="271" t="str">
        <f t="shared" si="39"/>
        <v>Hide</v>
      </c>
      <c r="I138" s="413" t="str">
        <f t="shared" si="38"/>
        <v>53902</v>
      </c>
      <c r="K138" s="337" t="str">
        <f>"543020"</f>
        <v>543020</v>
      </c>
      <c r="L138" s="275" t="str">
        <f t="shared" si="40"/>
        <v>001</v>
      </c>
      <c r="M138" s="275" t="str">
        <f t="shared" si="41"/>
        <v>10/1/2016..9/30/2017</v>
      </c>
      <c r="N138" s="274" t="str">
        <f t="shared" si="42"/>
        <v>HARMONY CDD</v>
      </c>
      <c r="O138" s="387" t="str">
        <f t="shared" si="43"/>
        <v>543020 53902</v>
      </c>
      <c r="P138" s="283" t="str">
        <f t="shared" si="44"/>
        <v>543020</v>
      </c>
      <c r="R138" s="389" t="s">
        <v>387</v>
      </c>
      <c r="S138" s="308"/>
      <c r="T138" s="388">
        <v>0</v>
      </c>
      <c r="U138" s="401"/>
      <c r="V138" s="388">
        <v>0</v>
      </c>
      <c r="W138" s="338"/>
      <c r="X138" s="388">
        <v>0</v>
      </c>
      <c r="Y138" s="338"/>
      <c r="Z138" s="388">
        <v>0</v>
      </c>
      <c r="AA138" s="338"/>
      <c r="AB138" s="354">
        <v>0</v>
      </c>
      <c r="AC138" s="351"/>
      <c r="AD138" s="354">
        <v>0</v>
      </c>
      <c r="AE138" s="354"/>
      <c r="AF138" s="354">
        <v>0</v>
      </c>
      <c r="AG138" s="354"/>
      <c r="AH138" s="354">
        <v>0</v>
      </c>
      <c r="AI138" s="354"/>
      <c r="AJ138" s="391">
        <v>0</v>
      </c>
      <c r="AK138" s="354"/>
      <c r="AL138" s="350">
        <f t="shared" si="45"/>
        <v>0</v>
      </c>
      <c r="AM138" s="354"/>
      <c r="AN138" s="354">
        <v>0</v>
      </c>
      <c r="AO138" s="354"/>
      <c r="AP138" s="391">
        <v>0</v>
      </c>
      <c r="AQ138" s="344">
        <f t="shared" si="46"/>
        <v>0</v>
      </c>
      <c r="AR138" s="308"/>
      <c r="AS138" s="345"/>
    </row>
    <row r="139" spans="1:58" ht="15.6" hidden="1" customHeight="1">
      <c r="A139" s="271" t="s">
        <v>311</v>
      </c>
      <c r="B139" s="271" t="str">
        <f t="shared" si="39"/>
        <v>Hide</v>
      </c>
      <c r="I139" s="413" t="str">
        <f t="shared" si="38"/>
        <v>53902</v>
      </c>
      <c r="K139" s="337" t="str">
        <f>"546022"</f>
        <v>546022</v>
      </c>
      <c r="L139" s="275" t="str">
        <f t="shared" si="40"/>
        <v>001</v>
      </c>
      <c r="M139" s="275" t="str">
        <f t="shared" si="41"/>
        <v>10/1/2016..9/30/2017</v>
      </c>
      <c r="N139" s="274" t="str">
        <f t="shared" si="42"/>
        <v>HARMONY CDD</v>
      </c>
      <c r="O139" s="387" t="str">
        <f t="shared" si="43"/>
        <v>546022 53902</v>
      </c>
      <c r="P139" s="283" t="str">
        <f t="shared" si="44"/>
        <v>546022</v>
      </c>
      <c r="R139" s="389" t="s">
        <v>388</v>
      </c>
      <c r="S139" s="308"/>
      <c r="T139" s="388">
        <v>0</v>
      </c>
      <c r="U139" s="401"/>
      <c r="V139" s="388">
        <v>0</v>
      </c>
      <c r="W139" s="338"/>
      <c r="X139" s="388">
        <v>0</v>
      </c>
      <c r="Y139" s="338"/>
      <c r="Z139" s="388">
        <v>0</v>
      </c>
      <c r="AA139" s="338"/>
      <c r="AB139" s="354">
        <v>0</v>
      </c>
      <c r="AC139" s="351"/>
      <c r="AD139" s="354">
        <v>0</v>
      </c>
      <c r="AE139" s="354"/>
      <c r="AF139" s="354">
        <v>0</v>
      </c>
      <c r="AG139" s="354"/>
      <c r="AH139" s="354">
        <v>0</v>
      </c>
      <c r="AI139" s="354"/>
      <c r="AJ139" s="391">
        <v>0</v>
      </c>
      <c r="AK139" s="354"/>
      <c r="AL139" s="350">
        <f t="shared" si="45"/>
        <v>0</v>
      </c>
      <c r="AM139" s="354"/>
      <c r="AN139" s="354">
        <v>0</v>
      </c>
      <c r="AO139" s="354"/>
      <c r="AP139" s="391">
        <v>0</v>
      </c>
      <c r="AQ139" s="344">
        <f t="shared" si="46"/>
        <v>0</v>
      </c>
      <c r="AR139" s="308"/>
      <c r="AS139" s="345"/>
    </row>
    <row r="140" spans="1:58" ht="15.6" hidden="1" customHeight="1">
      <c r="A140" s="271" t="s">
        <v>311</v>
      </c>
      <c r="B140" s="271" t="str">
        <f t="shared" si="39"/>
        <v>Hide</v>
      </c>
      <c r="I140" s="413" t="str">
        <f t="shared" si="38"/>
        <v>53902</v>
      </c>
      <c r="K140" s="337" t="str">
        <f>"546031"</f>
        <v>546031</v>
      </c>
      <c r="L140" s="275" t="str">
        <f t="shared" si="40"/>
        <v>001</v>
      </c>
      <c r="M140" s="275" t="str">
        <f t="shared" si="41"/>
        <v>10/1/2016..9/30/2017</v>
      </c>
      <c r="N140" s="274" t="str">
        <f t="shared" si="42"/>
        <v>HARMONY CDD</v>
      </c>
      <c r="O140" s="387" t="str">
        <f t="shared" si="43"/>
        <v>546031 53902</v>
      </c>
      <c r="P140" s="283" t="str">
        <f t="shared" si="44"/>
        <v>546031</v>
      </c>
      <c r="R140" s="389" t="s">
        <v>389</v>
      </c>
      <c r="S140" s="308"/>
      <c r="T140" s="388">
        <v>0</v>
      </c>
      <c r="U140" s="401"/>
      <c r="V140" s="388">
        <v>0</v>
      </c>
      <c r="W140" s="338"/>
      <c r="X140" s="388">
        <v>0</v>
      </c>
      <c r="Y140" s="338"/>
      <c r="Z140" s="388">
        <v>0</v>
      </c>
      <c r="AA140" s="338"/>
      <c r="AB140" s="354">
        <v>0</v>
      </c>
      <c r="AC140" s="351"/>
      <c r="AD140" s="354">
        <v>0</v>
      </c>
      <c r="AE140" s="354"/>
      <c r="AF140" s="354">
        <v>0</v>
      </c>
      <c r="AG140" s="354"/>
      <c r="AH140" s="354">
        <v>0</v>
      </c>
      <c r="AI140" s="354"/>
      <c r="AJ140" s="391">
        <v>0</v>
      </c>
      <c r="AK140" s="354"/>
      <c r="AL140" s="350">
        <f t="shared" si="45"/>
        <v>0</v>
      </c>
      <c r="AM140" s="354"/>
      <c r="AN140" s="354">
        <v>0</v>
      </c>
      <c r="AO140" s="354"/>
      <c r="AP140" s="391">
        <v>0</v>
      </c>
      <c r="AQ140" s="344">
        <f t="shared" si="46"/>
        <v>0</v>
      </c>
      <c r="AR140" s="308"/>
      <c r="AS140" s="345"/>
    </row>
    <row r="141" spans="1:58" ht="15.6" hidden="1" customHeight="1">
      <c r="A141" s="271" t="s">
        <v>311</v>
      </c>
      <c r="B141" s="271" t="str">
        <f t="shared" si="39"/>
        <v>Hide</v>
      </c>
      <c r="I141" s="413" t="str">
        <f t="shared" si="38"/>
        <v>53902</v>
      </c>
      <c r="K141" s="337" t="str">
        <f>"546032"</f>
        <v>546032</v>
      </c>
      <c r="L141" s="275" t="str">
        <f t="shared" si="40"/>
        <v>001</v>
      </c>
      <c r="M141" s="275" t="str">
        <f t="shared" si="41"/>
        <v>10/1/2016..9/30/2017</v>
      </c>
      <c r="N141" s="274" t="str">
        <f t="shared" si="42"/>
        <v>HARMONY CDD</v>
      </c>
      <c r="O141" s="387" t="str">
        <f t="shared" si="43"/>
        <v>546032 53902</v>
      </c>
      <c r="P141" s="283" t="str">
        <f t="shared" si="44"/>
        <v>546032</v>
      </c>
      <c r="R141" s="389" t="s">
        <v>390</v>
      </c>
      <c r="S141" s="308"/>
      <c r="T141" s="388">
        <v>0</v>
      </c>
      <c r="U141" s="401"/>
      <c r="V141" s="388">
        <v>0</v>
      </c>
      <c r="W141" s="338"/>
      <c r="X141" s="388">
        <v>0</v>
      </c>
      <c r="Y141" s="338"/>
      <c r="Z141" s="388">
        <v>0</v>
      </c>
      <c r="AA141" s="338"/>
      <c r="AB141" s="354">
        <v>0</v>
      </c>
      <c r="AC141" s="351"/>
      <c r="AD141" s="354">
        <v>0</v>
      </c>
      <c r="AE141" s="354"/>
      <c r="AF141" s="354">
        <v>0</v>
      </c>
      <c r="AG141" s="354"/>
      <c r="AH141" s="354">
        <v>0</v>
      </c>
      <c r="AI141" s="354"/>
      <c r="AJ141" s="391">
        <v>0</v>
      </c>
      <c r="AK141" s="354"/>
      <c r="AL141" s="350">
        <f t="shared" si="45"/>
        <v>0</v>
      </c>
      <c r="AM141" s="354"/>
      <c r="AN141" s="354">
        <v>0</v>
      </c>
      <c r="AO141" s="354"/>
      <c r="AP141" s="391">
        <v>0</v>
      </c>
      <c r="AQ141" s="344">
        <f t="shared" si="46"/>
        <v>0</v>
      </c>
      <c r="AR141" s="308"/>
      <c r="AS141" s="345"/>
    </row>
    <row r="142" spans="1:58" ht="15.6" hidden="1" customHeight="1">
      <c r="A142" s="271" t="s">
        <v>311</v>
      </c>
      <c r="B142" s="271" t="str">
        <f t="shared" si="39"/>
        <v>Hide</v>
      </c>
      <c r="I142" s="413" t="str">
        <f t="shared" si="38"/>
        <v>53902</v>
      </c>
      <c r="K142" s="337" t="str">
        <f>"546037"</f>
        <v>546037</v>
      </c>
      <c r="L142" s="275" t="str">
        <f t="shared" si="40"/>
        <v>001</v>
      </c>
      <c r="M142" s="275" t="str">
        <f t="shared" si="41"/>
        <v>10/1/2016..9/30/2017</v>
      </c>
      <c r="N142" s="274" t="str">
        <f t="shared" si="42"/>
        <v>HARMONY CDD</v>
      </c>
      <c r="O142" s="387" t="str">
        <f t="shared" si="43"/>
        <v>546037 53902</v>
      </c>
      <c r="P142" s="283" t="str">
        <f t="shared" si="44"/>
        <v>546037</v>
      </c>
      <c r="R142" s="389" t="s">
        <v>391</v>
      </c>
      <c r="S142" s="308"/>
      <c r="T142" s="388">
        <v>0</v>
      </c>
      <c r="U142" s="401"/>
      <c r="V142" s="388">
        <v>0</v>
      </c>
      <c r="W142" s="338"/>
      <c r="X142" s="388">
        <v>0</v>
      </c>
      <c r="Y142" s="338"/>
      <c r="Z142" s="388">
        <v>0</v>
      </c>
      <c r="AA142" s="338"/>
      <c r="AB142" s="354">
        <v>0</v>
      </c>
      <c r="AC142" s="351"/>
      <c r="AD142" s="354">
        <v>0</v>
      </c>
      <c r="AE142" s="354"/>
      <c r="AF142" s="354">
        <v>0</v>
      </c>
      <c r="AG142" s="354"/>
      <c r="AH142" s="354">
        <v>0</v>
      </c>
      <c r="AI142" s="354"/>
      <c r="AJ142" s="391">
        <v>0</v>
      </c>
      <c r="AK142" s="354"/>
      <c r="AL142" s="350">
        <f t="shared" si="45"/>
        <v>0</v>
      </c>
      <c r="AM142" s="354"/>
      <c r="AN142" s="354">
        <v>0</v>
      </c>
      <c r="AO142" s="354"/>
      <c r="AP142" s="391">
        <v>0</v>
      </c>
      <c r="AQ142" s="344">
        <f t="shared" si="46"/>
        <v>0</v>
      </c>
      <c r="AR142" s="308"/>
      <c r="AS142" s="345"/>
    </row>
    <row r="143" spans="1:58" ht="15.6" customHeight="1">
      <c r="A143" s="271" t="s">
        <v>311</v>
      </c>
      <c r="B143" s="271" t="str">
        <f t="shared" si="39"/>
        <v>Show</v>
      </c>
      <c r="I143" s="413" t="str">
        <f t="shared" si="38"/>
        <v>53902</v>
      </c>
      <c r="K143" s="337" t="str">
        <f>"546041"</f>
        <v>546041</v>
      </c>
      <c r="L143" s="275" t="str">
        <f t="shared" si="40"/>
        <v>001</v>
      </c>
      <c r="M143" s="275" t="str">
        <f t="shared" si="41"/>
        <v>10/1/2016..9/30/2017</v>
      </c>
      <c r="N143" s="274" t="str">
        <f t="shared" si="42"/>
        <v>HARMONY CDD</v>
      </c>
      <c r="O143" s="387" t="str">
        <f t="shared" si="43"/>
        <v>546041 53902</v>
      </c>
      <c r="P143" s="283" t="str">
        <f t="shared" si="44"/>
        <v>546041</v>
      </c>
      <c r="R143" s="389" t="s">
        <v>392</v>
      </c>
      <c r="S143" s="308"/>
      <c r="T143" s="388">
        <v>2837</v>
      </c>
      <c r="U143" s="401"/>
      <c r="V143" s="388">
        <v>0</v>
      </c>
      <c r="W143" s="338"/>
      <c r="X143" s="388">
        <v>0</v>
      </c>
      <c r="Y143" s="338"/>
      <c r="Z143" s="388">
        <v>0</v>
      </c>
      <c r="AA143" s="338"/>
      <c r="AB143" s="354">
        <v>8573</v>
      </c>
      <c r="AC143" s="351"/>
      <c r="AD143" s="354">
        <v>0</v>
      </c>
      <c r="AE143" s="354"/>
      <c r="AF143" s="354">
        <v>15000</v>
      </c>
      <c r="AG143" s="354"/>
      <c r="AH143" s="354">
        <v>3973</v>
      </c>
      <c r="AI143" s="354"/>
      <c r="AJ143" s="391">
        <f>+AF143-AH143</f>
        <v>11027</v>
      </c>
      <c r="AK143" s="354"/>
      <c r="AL143" s="350">
        <f t="shared" si="45"/>
        <v>15000</v>
      </c>
      <c r="AM143" s="354"/>
      <c r="AN143" s="354">
        <v>0</v>
      </c>
      <c r="AO143" s="354"/>
      <c r="AP143" s="1456">
        <v>10000</v>
      </c>
      <c r="AQ143" s="344">
        <f t="shared" si="46"/>
        <v>63573</v>
      </c>
      <c r="AR143" s="308"/>
      <c r="AS143" s="422" t="s">
        <v>393</v>
      </c>
    </row>
    <row r="144" spans="1:58" ht="15.6" hidden="1" customHeight="1">
      <c r="A144" s="271" t="s">
        <v>311</v>
      </c>
      <c r="B144" s="271" t="str">
        <f t="shared" si="39"/>
        <v>Hide</v>
      </c>
      <c r="I144" s="413" t="str">
        <f t="shared" si="38"/>
        <v>53902</v>
      </c>
      <c r="K144" s="337" t="str">
        <f>"546094"</f>
        <v>546094</v>
      </c>
      <c r="L144" s="275" t="str">
        <f t="shared" si="40"/>
        <v>001</v>
      </c>
      <c r="M144" s="275" t="str">
        <f t="shared" si="41"/>
        <v>10/1/2016..9/30/2017</v>
      </c>
      <c r="N144" s="274" t="str">
        <f t="shared" si="42"/>
        <v>HARMONY CDD</v>
      </c>
      <c r="O144" s="387" t="str">
        <f t="shared" si="43"/>
        <v>546094 53902</v>
      </c>
      <c r="P144" s="283" t="str">
        <f t="shared" si="44"/>
        <v>546094</v>
      </c>
      <c r="R144" s="389" t="s">
        <v>394</v>
      </c>
      <c r="S144" s="308"/>
      <c r="T144" s="388">
        <v>0</v>
      </c>
      <c r="U144" s="401"/>
      <c r="V144" s="388">
        <v>0</v>
      </c>
      <c r="W144" s="338"/>
      <c r="X144" s="388">
        <v>0</v>
      </c>
      <c r="Y144" s="338"/>
      <c r="Z144" s="388">
        <v>0</v>
      </c>
      <c r="AA144" s="338"/>
      <c r="AB144" s="354">
        <v>0</v>
      </c>
      <c r="AC144" s="351"/>
      <c r="AD144" s="354">
        <v>0</v>
      </c>
      <c r="AE144" s="354"/>
      <c r="AF144" s="354">
        <v>0</v>
      </c>
      <c r="AG144" s="354"/>
      <c r="AH144" s="354">
        <v>0</v>
      </c>
      <c r="AI144" s="354"/>
      <c r="AJ144" s="391">
        <v>0</v>
      </c>
      <c r="AK144" s="354"/>
      <c r="AL144" s="350">
        <f t="shared" si="45"/>
        <v>0</v>
      </c>
      <c r="AM144" s="354"/>
      <c r="AN144" s="354">
        <v>0</v>
      </c>
      <c r="AO144" s="354"/>
      <c r="AP144" s="391">
        <v>0</v>
      </c>
      <c r="AQ144" s="344">
        <f t="shared" si="46"/>
        <v>0</v>
      </c>
      <c r="AR144" s="308"/>
      <c r="AS144" s="345"/>
    </row>
    <row r="145" spans="1:58" ht="15.6" hidden="1" customHeight="1">
      <c r="A145" s="271" t="s">
        <v>311</v>
      </c>
      <c r="B145" s="271" t="str">
        <f t="shared" si="39"/>
        <v>Hide</v>
      </c>
      <c r="I145" s="413" t="str">
        <f t="shared" si="38"/>
        <v>53902</v>
      </c>
      <c r="K145" s="337" t="str">
        <f>"546098"</f>
        <v>546098</v>
      </c>
      <c r="L145" s="275" t="str">
        <f t="shared" si="40"/>
        <v>001</v>
      </c>
      <c r="M145" s="275" t="str">
        <f t="shared" si="41"/>
        <v>10/1/2016..9/30/2017</v>
      </c>
      <c r="N145" s="274" t="str">
        <f t="shared" si="42"/>
        <v>HARMONY CDD</v>
      </c>
      <c r="O145" s="387" t="str">
        <f t="shared" si="43"/>
        <v>546098 53902</v>
      </c>
      <c r="P145" s="283" t="str">
        <f t="shared" si="44"/>
        <v>546098</v>
      </c>
      <c r="R145" s="389" t="s">
        <v>395</v>
      </c>
      <c r="S145" s="308"/>
      <c r="T145" s="388">
        <v>0</v>
      </c>
      <c r="U145" s="401"/>
      <c r="V145" s="388">
        <v>0</v>
      </c>
      <c r="W145" s="338"/>
      <c r="X145" s="388">
        <v>0</v>
      </c>
      <c r="Y145" s="338"/>
      <c r="Z145" s="388">
        <v>0</v>
      </c>
      <c r="AA145" s="338"/>
      <c r="AB145" s="354">
        <v>0</v>
      </c>
      <c r="AC145" s="351"/>
      <c r="AD145" s="354">
        <v>0</v>
      </c>
      <c r="AE145" s="354"/>
      <c r="AF145" s="354">
        <v>0</v>
      </c>
      <c r="AG145" s="354"/>
      <c r="AH145" s="354">
        <v>0</v>
      </c>
      <c r="AI145" s="354"/>
      <c r="AJ145" s="391">
        <v>0</v>
      </c>
      <c r="AK145" s="354"/>
      <c r="AL145" s="350">
        <f t="shared" si="45"/>
        <v>0</v>
      </c>
      <c r="AM145" s="354"/>
      <c r="AN145" s="354">
        <v>0</v>
      </c>
      <c r="AO145" s="354"/>
      <c r="AP145" s="391">
        <v>0</v>
      </c>
      <c r="AQ145" s="344">
        <f t="shared" si="46"/>
        <v>0</v>
      </c>
      <c r="AR145" s="308"/>
      <c r="AS145" s="345"/>
    </row>
    <row r="146" spans="1:58" ht="15.6" customHeight="1">
      <c r="A146" s="271" t="s">
        <v>311</v>
      </c>
      <c r="B146" s="271" t="str">
        <f t="shared" si="39"/>
        <v>Show</v>
      </c>
      <c r="I146" s="413" t="str">
        <f t="shared" si="38"/>
        <v>53902</v>
      </c>
      <c r="K146" s="337" t="str">
        <f>"546099"</f>
        <v>546099</v>
      </c>
      <c r="L146" s="275" t="str">
        <f t="shared" si="40"/>
        <v>001</v>
      </c>
      <c r="M146" s="275" t="str">
        <f t="shared" si="41"/>
        <v>10/1/2016..9/30/2017</v>
      </c>
      <c r="N146" s="274" t="str">
        <f t="shared" si="42"/>
        <v>HARMONY CDD</v>
      </c>
      <c r="O146" s="387" t="str">
        <f t="shared" si="43"/>
        <v>546099 53902</v>
      </c>
      <c r="P146" s="283" t="str">
        <f t="shared" si="44"/>
        <v>546099</v>
      </c>
      <c r="R146" s="389" t="s">
        <v>396</v>
      </c>
      <c r="S146" s="308"/>
      <c r="T146" s="388">
        <v>0</v>
      </c>
      <c r="U146" s="401"/>
      <c r="V146" s="388">
        <v>0</v>
      </c>
      <c r="W146" s="338"/>
      <c r="X146" s="388">
        <v>0</v>
      </c>
      <c r="Y146" s="338"/>
      <c r="Z146" s="388">
        <v>0</v>
      </c>
      <c r="AA146" s="338"/>
      <c r="AB146" s="354">
        <v>0</v>
      </c>
      <c r="AC146" s="351"/>
      <c r="AD146" s="354">
        <v>0</v>
      </c>
      <c r="AE146" s="354"/>
      <c r="AF146" s="354">
        <v>15000</v>
      </c>
      <c r="AG146" s="354"/>
      <c r="AH146" s="354">
        <v>19562</v>
      </c>
      <c r="AI146" s="354"/>
      <c r="AJ146" s="391">
        <v>0</v>
      </c>
      <c r="AK146" s="354"/>
      <c r="AL146" s="350">
        <f t="shared" si="45"/>
        <v>19562</v>
      </c>
      <c r="AM146" s="354"/>
      <c r="AN146" s="354">
        <v>0</v>
      </c>
      <c r="AO146" s="354"/>
      <c r="AP146" s="1456">
        <v>20000</v>
      </c>
      <c r="AQ146" s="344">
        <f t="shared" si="46"/>
        <v>74124</v>
      </c>
      <c r="AR146" s="308"/>
      <c r="AS146" s="345" t="s">
        <v>386</v>
      </c>
    </row>
    <row r="147" spans="1:58" ht="15.6" hidden="1" customHeight="1">
      <c r="A147" s="271" t="s">
        <v>311</v>
      </c>
      <c r="B147" s="271" t="str">
        <f t="shared" si="39"/>
        <v>Hide</v>
      </c>
      <c r="I147" s="413" t="str">
        <f t="shared" si="38"/>
        <v>53902</v>
      </c>
      <c r="K147" s="337" t="str">
        <f>"546130"</f>
        <v>546130</v>
      </c>
      <c r="L147" s="275" t="str">
        <f t="shared" si="40"/>
        <v>001</v>
      </c>
      <c r="M147" s="275" t="str">
        <f t="shared" si="41"/>
        <v>10/1/2016..9/30/2017</v>
      </c>
      <c r="N147" s="274" t="str">
        <f t="shared" si="42"/>
        <v>HARMONY CDD</v>
      </c>
      <c r="O147" s="387" t="str">
        <f t="shared" si="43"/>
        <v>546130 53902</v>
      </c>
      <c r="P147" s="283" t="str">
        <f t="shared" si="44"/>
        <v>546130</v>
      </c>
      <c r="R147" s="389" t="s">
        <v>397</v>
      </c>
      <c r="S147" s="308"/>
      <c r="T147" s="388">
        <v>0</v>
      </c>
      <c r="U147" s="401"/>
      <c r="V147" s="388">
        <v>0</v>
      </c>
      <c r="W147" s="338"/>
      <c r="X147" s="388">
        <v>0</v>
      </c>
      <c r="Y147" s="338"/>
      <c r="Z147" s="388">
        <v>0</v>
      </c>
      <c r="AA147" s="338"/>
      <c r="AB147" s="354">
        <v>0</v>
      </c>
      <c r="AC147" s="351"/>
      <c r="AD147" s="354">
        <v>0</v>
      </c>
      <c r="AE147" s="354"/>
      <c r="AF147" s="354">
        <v>0</v>
      </c>
      <c r="AG147" s="354"/>
      <c r="AH147" s="354">
        <v>0</v>
      </c>
      <c r="AI147" s="354"/>
      <c r="AJ147" s="391">
        <v>0</v>
      </c>
      <c r="AK147" s="354"/>
      <c r="AL147" s="350">
        <f t="shared" si="45"/>
        <v>0</v>
      </c>
      <c r="AM147" s="354"/>
      <c r="AN147" s="354">
        <v>0</v>
      </c>
      <c r="AO147" s="354"/>
      <c r="AP147" s="391">
        <v>0</v>
      </c>
      <c r="AQ147" s="344">
        <f t="shared" si="46"/>
        <v>0</v>
      </c>
      <c r="AR147" s="308"/>
      <c r="AS147" s="345"/>
    </row>
    <row r="148" spans="1:58" ht="15.6" hidden="1" customHeight="1">
      <c r="A148" s="271" t="s">
        <v>311</v>
      </c>
      <c r="B148" s="271" t="str">
        <f t="shared" si="39"/>
        <v>Hide</v>
      </c>
      <c r="I148" s="413" t="str">
        <f t="shared" si="38"/>
        <v>53902</v>
      </c>
      <c r="K148" s="337" t="str">
        <f>"546131"</f>
        <v>546131</v>
      </c>
      <c r="L148" s="275" t="str">
        <f t="shared" si="40"/>
        <v>001</v>
      </c>
      <c r="M148" s="275" t="str">
        <f t="shared" si="41"/>
        <v>10/1/2016..9/30/2017</v>
      </c>
      <c r="N148" s="274" t="str">
        <f t="shared" si="42"/>
        <v>HARMONY CDD</v>
      </c>
      <c r="O148" s="387" t="str">
        <f t="shared" si="43"/>
        <v>546131 53902</v>
      </c>
      <c r="P148" s="283" t="str">
        <f t="shared" si="44"/>
        <v>546131</v>
      </c>
      <c r="R148" s="389" t="s">
        <v>398</v>
      </c>
      <c r="S148" s="308"/>
      <c r="T148" s="388">
        <v>0</v>
      </c>
      <c r="U148" s="401"/>
      <c r="V148" s="388">
        <v>0</v>
      </c>
      <c r="W148" s="338"/>
      <c r="X148" s="388">
        <v>0</v>
      </c>
      <c r="Y148" s="338"/>
      <c r="Z148" s="388">
        <v>0</v>
      </c>
      <c r="AA148" s="338"/>
      <c r="AB148" s="354">
        <v>0</v>
      </c>
      <c r="AC148" s="351"/>
      <c r="AD148" s="354">
        <v>0</v>
      </c>
      <c r="AE148" s="354"/>
      <c r="AF148" s="354">
        <v>0</v>
      </c>
      <c r="AG148" s="354"/>
      <c r="AH148" s="354">
        <v>0</v>
      </c>
      <c r="AI148" s="354"/>
      <c r="AJ148" s="391">
        <v>0</v>
      </c>
      <c r="AK148" s="354"/>
      <c r="AL148" s="350">
        <f t="shared" si="45"/>
        <v>0</v>
      </c>
      <c r="AM148" s="354"/>
      <c r="AN148" s="354">
        <v>0</v>
      </c>
      <c r="AO148" s="354"/>
      <c r="AP148" s="391">
        <v>0</v>
      </c>
      <c r="AQ148" s="344">
        <f t="shared" si="46"/>
        <v>0</v>
      </c>
      <c r="AR148" s="308"/>
      <c r="AS148" s="345"/>
    </row>
    <row r="149" spans="1:58" ht="15.6" hidden="1" customHeight="1">
      <c r="A149" s="271" t="s">
        <v>311</v>
      </c>
      <c r="B149" s="271" t="str">
        <f t="shared" si="39"/>
        <v>Hide</v>
      </c>
      <c r="I149" s="413" t="str">
        <f t="shared" si="38"/>
        <v>53902</v>
      </c>
      <c r="K149" s="337" t="str">
        <f>"546301"</f>
        <v>546301</v>
      </c>
      <c r="L149" s="275" t="str">
        <f t="shared" si="40"/>
        <v>001</v>
      </c>
      <c r="M149" s="275" t="str">
        <f t="shared" si="41"/>
        <v>10/1/2016..9/30/2017</v>
      </c>
      <c r="N149" s="274" t="str">
        <f t="shared" si="42"/>
        <v>HARMONY CDD</v>
      </c>
      <c r="O149" s="387" t="str">
        <f t="shared" si="43"/>
        <v>546301 53902</v>
      </c>
      <c r="P149" s="283" t="str">
        <f t="shared" si="44"/>
        <v>546301</v>
      </c>
      <c r="R149" s="389" t="s">
        <v>399</v>
      </c>
      <c r="S149" s="308"/>
      <c r="T149" s="388">
        <v>0</v>
      </c>
      <c r="U149" s="401"/>
      <c r="V149" s="388">
        <v>0</v>
      </c>
      <c r="W149" s="338"/>
      <c r="X149" s="388">
        <v>0</v>
      </c>
      <c r="Y149" s="338"/>
      <c r="Z149" s="388">
        <v>0</v>
      </c>
      <c r="AA149" s="338"/>
      <c r="AB149" s="354">
        <v>0</v>
      </c>
      <c r="AC149" s="351"/>
      <c r="AD149" s="354">
        <v>0</v>
      </c>
      <c r="AE149" s="354"/>
      <c r="AF149" s="354">
        <v>0</v>
      </c>
      <c r="AG149" s="354"/>
      <c r="AH149" s="354">
        <v>0</v>
      </c>
      <c r="AI149" s="354"/>
      <c r="AJ149" s="391">
        <v>0</v>
      </c>
      <c r="AK149" s="354"/>
      <c r="AL149" s="350">
        <f t="shared" si="45"/>
        <v>0</v>
      </c>
      <c r="AM149" s="354"/>
      <c r="AN149" s="354">
        <v>0</v>
      </c>
      <c r="AO149" s="354"/>
      <c r="AP149" s="391">
        <v>0</v>
      </c>
      <c r="AQ149" s="344">
        <f t="shared" si="46"/>
        <v>0</v>
      </c>
      <c r="AR149" s="308"/>
      <c r="AS149" s="345"/>
    </row>
    <row r="150" spans="1:58" ht="15.6" customHeight="1">
      <c r="A150" s="271" t="s">
        <v>311</v>
      </c>
      <c r="B150" s="271" t="str">
        <f t="shared" si="39"/>
        <v>Show</v>
      </c>
      <c r="I150" s="413" t="str">
        <f t="shared" si="38"/>
        <v>53902</v>
      </c>
      <c r="K150" s="337" t="str">
        <f>"549001"</f>
        <v>549001</v>
      </c>
      <c r="L150" s="275" t="str">
        <f t="shared" si="40"/>
        <v>001</v>
      </c>
      <c r="M150" s="275" t="str">
        <f t="shared" si="41"/>
        <v>10/1/2016..9/30/2017</v>
      </c>
      <c r="N150" s="274" t="str">
        <f t="shared" si="42"/>
        <v>HARMONY CDD</v>
      </c>
      <c r="O150" s="387" t="str">
        <f t="shared" si="43"/>
        <v>549001 53902</v>
      </c>
      <c r="P150" s="283" t="str">
        <f t="shared" si="44"/>
        <v>549001</v>
      </c>
      <c r="R150" s="389" t="s">
        <v>356</v>
      </c>
      <c r="S150" s="308"/>
      <c r="T150" s="388">
        <v>14805</v>
      </c>
      <c r="U150" s="401"/>
      <c r="V150" s="388">
        <v>0</v>
      </c>
      <c r="W150" s="338"/>
      <c r="X150" s="388">
        <v>0</v>
      </c>
      <c r="Y150" s="338"/>
      <c r="Z150" s="388">
        <v>0</v>
      </c>
      <c r="AA150" s="338"/>
      <c r="AB150" s="354">
        <v>35332</v>
      </c>
      <c r="AC150" s="351"/>
      <c r="AD150" s="354">
        <v>0</v>
      </c>
      <c r="AE150" s="354"/>
      <c r="AF150" s="354">
        <v>25000</v>
      </c>
      <c r="AG150" s="354"/>
      <c r="AH150" s="354">
        <v>19671</v>
      </c>
      <c r="AI150" s="354"/>
      <c r="AJ150" s="391">
        <f>+AF150-AH150</f>
        <v>5329</v>
      </c>
      <c r="AK150" s="354"/>
      <c r="AL150" s="350">
        <f t="shared" si="45"/>
        <v>25000</v>
      </c>
      <c r="AM150" s="354"/>
      <c r="AN150" s="354">
        <v>0</v>
      </c>
      <c r="AO150" s="354"/>
      <c r="AP150" s="391">
        <v>25000</v>
      </c>
      <c r="AQ150" s="344">
        <f t="shared" si="46"/>
        <v>135332</v>
      </c>
      <c r="AR150" s="308"/>
      <c r="AS150" s="422"/>
    </row>
    <row r="151" spans="1:58" ht="15.6" hidden="1" customHeight="1">
      <c r="A151" s="271" t="s">
        <v>311</v>
      </c>
      <c r="B151" s="271" t="str">
        <f t="shared" si="39"/>
        <v>Hide</v>
      </c>
      <c r="I151" s="413" t="str">
        <f t="shared" si="38"/>
        <v>53902</v>
      </c>
      <c r="K151" s="337" t="str">
        <f>"549015"</f>
        <v>549015</v>
      </c>
      <c r="L151" s="275" t="str">
        <f t="shared" si="40"/>
        <v>001</v>
      </c>
      <c r="M151" s="275" t="str">
        <f t="shared" si="41"/>
        <v>10/1/2016..9/30/2017</v>
      </c>
      <c r="N151" s="274" t="str">
        <f t="shared" si="42"/>
        <v>HARMONY CDD</v>
      </c>
      <c r="O151" s="387" t="str">
        <f t="shared" si="43"/>
        <v>549015 53902</v>
      </c>
      <c r="P151" s="283" t="str">
        <f t="shared" si="44"/>
        <v>549015</v>
      </c>
      <c r="R151" s="389" t="s">
        <v>400</v>
      </c>
      <c r="S151" s="308"/>
      <c r="T151" s="388">
        <v>0</v>
      </c>
      <c r="U151" s="401"/>
      <c r="V151" s="388">
        <v>0</v>
      </c>
      <c r="W151" s="338"/>
      <c r="X151" s="388">
        <v>0</v>
      </c>
      <c r="Y151" s="338"/>
      <c r="Z151" s="388">
        <v>0</v>
      </c>
      <c r="AA151" s="338"/>
      <c r="AB151" s="354">
        <v>0</v>
      </c>
      <c r="AC151" s="351"/>
      <c r="AD151" s="354">
        <v>0</v>
      </c>
      <c r="AE151" s="354"/>
      <c r="AF151" s="354">
        <v>0</v>
      </c>
      <c r="AG151" s="354"/>
      <c r="AH151" s="354">
        <v>0</v>
      </c>
      <c r="AI151" s="354"/>
      <c r="AJ151" s="391">
        <v>0</v>
      </c>
      <c r="AK151" s="354"/>
      <c r="AL151" s="350">
        <f t="shared" si="45"/>
        <v>0</v>
      </c>
      <c r="AM151" s="354"/>
      <c r="AN151" s="354">
        <v>0</v>
      </c>
      <c r="AO151" s="354"/>
      <c r="AP151" s="391">
        <f t="shared" ref="AP151:AP152" si="47">IF($F$13="YES",AF151,AN151)</f>
        <v>0</v>
      </c>
      <c r="AQ151" s="344">
        <f t="shared" si="46"/>
        <v>0</v>
      </c>
      <c r="AR151" s="308"/>
      <c r="AS151" s="345"/>
    </row>
    <row r="152" spans="1:58" ht="15.6" hidden="1" customHeight="1">
      <c r="A152" s="271" t="s">
        <v>311</v>
      </c>
      <c r="B152" s="271" t="str">
        <f t="shared" si="39"/>
        <v>Hide</v>
      </c>
      <c r="I152" s="413" t="str">
        <f t="shared" si="38"/>
        <v>53902</v>
      </c>
      <c r="K152" s="337" t="str">
        <f>"549900"</f>
        <v>549900</v>
      </c>
      <c r="L152" s="275" t="str">
        <f t="shared" si="40"/>
        <v>001</v>
      </c>
      <c r="M152" s="275" t="str">
        <f t="shared" si="41"/>
        <v>10/1/2016..9/30/2017</v>
      </c>
      <c r="N152" s="274" t="str">
        <f t="shared" si="42"/>
        <v>HARMONY CDD</v>
      </c>
      <c r="O152" s="387" t="str">
        <f t="shared" si="43"/>
        <v>549900 53902</v>
      </c>
      <c r="P152" s="283" t="str">
        <f t="shared" si="44"/>
        <v>549900</v>
      </c>
      <c r="R152" s="389" t="s">
        <v>359</v>
      </c>
      <c r="S152" s="308"/>
      <c r="T152" s="388">
        <v>0</v>
      </c>
      <c r="U152" s="401"/>
      <c r="V152" s="388">
        <v>0</v>
      </c>
      <c r="W152" s="338"/>
      <c r="X152" s="388">
        <v>0</v>
      </c>
      <c r="Y152" s="338"/>
      <c r="Z152" s="388">
        <v>0</v>
      </c>
      <c r="AA152" s="338"/>
      <c r="AB152" s="354">
        <v>0</v>
      </c>
      <c r="AC152" s="351"/>
      <c r="AD152" s="354">
        <v>0</v>
      </c>
      <c r="AE152" s="354"/>
      <c r="AF152" s="354">
        <v>0</v>
      </c>
      <c r="AG152" s="354"/>
      <c r="AH152" s="354">
        <v>0</v>
      </c>
      <c r="AI152" s="354"/>
      <c r="AJ152" s="391">
        <v>0</v>
      </c>
      <c r="AK152" s="354"/>
      <c r="AL152" s="350">
        <f t="shared" si="45"/>
        <v>0</v>
      </c>
      <c r="AM152" s="354"/>
      <c r="AN152" s="354">
        <v>0</v>
      </c>
      <c r="AO152" s="354"/>
      <c r="AP152" s="391">
        <f t="shared" si="47"/>
        <v>0</v>
      </c>
      <c r="AQ152" s="344">
        <f t="shared" si="46"/>
        <v>0</v>
      </c>
      <c r="AR152" s="308"/>
      <c r="AS152" s="345"/>
    </row>
    <row r="153" spans="1:58" ht="3.95" hidden="1" customHeight="1">
      <c r="A153" s="271" t="s">
        <v>76</v>
      </c>
      <c r="B153" s="274" t="s">
        <v>31</v>
      </c>
      <c r="I153" s="413" t="str">
        <f>I133</f>
        <v>53902</v>
      </c>
      <c r="N153" s="274"/>
      <c r="P153" s="283"/>
      <c r="R153" s="308"/>
      <c r="S153" s="308"/>
      <c r="T153" s="401"/>
      <c r="U153" s="308"/>
      <c r="V153" s="401"/>
      <c r="W153" s="308"/>
      <c r="X153" s="401"/>
      <c r="Y153" s="308"/>
      <c r="Z153" s="401"/>
      <c r="AA153" s="308"/>
      <c r="AB153" s="383"/>
      <c r="AC153" s="402"/>
      <c r="AD153" s="383"/>
      <c r="AE153" s="402"/>
      <c r="AF153" s="383"/>
      <c r="AG153" s="402"/>
      <c r="AH153" s="383"/>
      <c r="AI153" s="402"/>
      <c r="AJ153" s="383"/>
      <c r="AK153" s="402"/>
      <c r="AL153" s="383"/>
      <c r="AM153" s="402"/>
      <c r="AN153" s="383"/>
      <c r="AO153" s="383"/>
      <c r="AP153" s="383"/>
      <c r="AQ153" s="308"/>
      <c r="AR153" s="308"/>
      <c r="AS153" s="403"/>
    </row>
    <row r="154" spans="1:58" ht="15" customHeight="1">
      <c r="A154" s="271" t="s">
        <v>76</v>
      </c>
      <c r="B154" s="271" t="str">
        <f>IF(AQ154=0,"Hide","Show")</f>
        <v>Show</v>
      </c>
      <c r="I154" s="413" t="str">
        <f t="shared" ref="I154:I155" si="48">I153</f>
        <v>53902</v>
      </c>
      <c r="N154" s="274"/>
      <c r="P154" s="283"/>
      <c r="R154" s="417" t="str">
        <f>"Total "&amp;($R132)</f>
        <v>Total Landscape Services</v>
      </c>
      <c r="S154" s="308"/>
      <c r="T154" s="393">
        <f>SUM(T133:T153)</f>
        <v>200487</v>
      </c>
      <c r="U154" s="322"/>
      <c r="V154" s="393">
        <f>SUM(V133:V153)</f>
        <v>0</v>
      </c>
      <c r="W154" s="404"/>
      <c r="X154" s="393">
        <f>SUM(X133:X153)</f>
        <v>0</v>
      </c>
      <c r="Y154" s="404"/>
      <c r="Z154" s="393">
        <f>SUM(Z133:Z153)</f>
        <v>0</v>
      </c>
      <c r="AA154" s="404"/>
      <c r="AB154" s="394">
        <f>SUM(AB133:AB153)</f>
        <v>465370</v>
      </c>
      <c r="AC154" s="405"/>
      <c r="AD154" s="394">
        <f>SUM(AD133:AD153)</f>
        <v>0</v>
      </c>
      <c r="AE154" s="386"/>
      <c r="AF154" s="394">
        <f>SUM(AF133:AF153)</f>
        <v>484893</v>
      </c>
      <c r="AG154" s="405"/>
      <c r="AH154" s="394">
        <f>SUM(AH133:AH153)</f>
        <v>339358</v>
      </c>
      <c r="AI154" s="405"/>
      <c r="AJ154" s="394">
        <f>SUM(AJ133:AJ153)</f>
        <v>167349</v>
      </c>
      <c r="AK154" s="405"/>
      <c r="AL154" s="394">
        <f>SUM(AL133:AL153)</f>
        <v>506707</v>
      </c>
      <c r="AM154" s="405"/>
      <c r="AN154" s="394">
        <f>SUM(AN133:AN153)</f>
        <v>0</v>
      </c>
      <c r="AO154" s="405"/>
      <c r="AP154" s="394">
        <f>SUM(AP133:AP153)</f>
        <v>534166</v>
      </c>
      <c r="AQ154" s="344">
        <f>ABS(SUMIF(V154:AP154,"&gt;0")-SUMIF(V154:AP154,"&lt;0"))</f>
        <v>2497843</v>
      </c>
      <c r="AR154" s="308"/>
      <c r="AS154" s="403"/>
      <c r="AU154" s="274">
        <f>SUM(T132:T153)</f>
        <v>200487</v>
      </c>
      <c r="AV154" s="274">
        <f>SUM(V132:V153)</f>
        <v>0</v>
      </c>
      <c r="AW154" s="274">
        <f>SUM(X132:X153)</f>
        <v>0</v>
      </c>
      <c r="AX154" s="274">
        <f>SUM(Z132:Z153)</f>
        <v>0</v>
      </c>
      <c r="AY154" s="274">
        <f>SUM(AB132:AB153)</f>
        <v>465370</v>
      </c>
      <c r="AZ154" s="274">
        <f>SUM(AD132:AD153)</f>
        <v>0</v>
      </c>
      <c r="BA154" s="274">
        <f>SUM(AF132:AF153)</f>
        <v>484893</v>
      </c>
      <c r="BB154" s="274">
        <f>SUM(AH132:AH153)</f>
        <v>339358</v>
      </c>
      <c r="BC154" s="274">
        <f>SUM(AJ132:AJ153)</f>
        <v>167349</v>
      </c>
      <c r="BD154" s="274">
        <f>SUM(AL132:AL153)</f>
        <v>506707</v>
      </c>
      <c r="BE154" s="274">
        <f>SUM(AN132:AN153)</f>
        <v>0</v>
      </c>
      <c r="BF154" s="274">
        <f>SUM(AP132:AP153)</f>
        <v>534166</v>
      </c>
    </row>
    <row r="155" spans="1:58" s="272" customFormat="1" ht="15.6" customHeight="1">
      <c r="A155" s="272" t="s">
        <v>76</v>
      </c>
      <c r="B155" s="272" t="str">
        <f>B154</f>
        <v>Show</v>
      </c>
      <c r="I155" s="419" t="str">
        <f t="shared" si="48"/>
        <v>53902</v>
      </c>
      <c r="K155" s="406"/>
      <c r="P155" s="283"/>
      <c r="R155" s="407" t="s">
        <v>333</v>
      </c>
      <c r="S155" s="322"/>
      <c r="T155" s="322"/>
      <c r="U155" s="322"/>
      <c r="V155" s="322"/>
      <c r="W155" s="322"/>
      <c r="X155" s="322"/>
      <c r="Y155" s="322"/>
      <c r="Z155" s="322"/>
      <c r="AA155" s="322"/>
      <c r="AB155" s="352"/>
      <c r="AC155" s="352"/>
      <c r="AD155" s="352"/>
      <c r="AE155" s="352"/>
      <c r="AF155" s="352"/>
      <c r="AG155" s="352"/>
      <c r="AH155" s="352"/>
      <c r="AI155" s="352"/>
      <c r="AJ155" s="352"/>
      <c r="AK155" s="352"/>
      <c r="AL155" s="408">
        <f>AF154-AL154</f>
        <v>-21814</v>
      </c>
      <c r="AM155" s="352"/>
      <c r="AN155" s="352"/>
      <c r="AO155" s="386"/>
      <c r="AP155" s="352"/>
      <c r="AQ155" s="322"/>
      <c r="AR155" s="322"/>
      <c r="AS155" s="409" t="s">
        <v>363</v>
      </c>
    </row>
    <row r="156" spans="1:58" hidden="1">
      <c r="A156" s="271" t="s">
        <v>76</v>
      </c>
      <c r="B156" s="271" t="s">
        <v>31</v>
      </c>
      <c r="H156" s="272" t="s">
        <v>365</v>
      </c>
      <c r="I156" s="412" t="str">
        <f>"53903"</f>
        <v>53903</v>
      </c>
      <c r="N156" s="274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402"/>
      <c r="AC156" s="402"/>
      <c r="AD156" s="402"/>
      <c r="AE156" s="402"/>
      <c r="AF156" s="402"/>
      <c r="AG156" s="402"/>
      <c r="AH156" s="402"/>
      <c r="AI156" s="402"/>
      <c r="AJ156" s="402"/>
      <c r="AK156" s="402"/>
      <c r="AL156" s="411"/>
      <c r="AM156" s="411"/>
      <c r="AN156" s="411"/>
      <c r="AO156" s="416"/>
      <c r="AP156" s="411"/>
      <c r="AR156" s="308"/>
      <c r="AS156" s="403"/>
    </row>
    <row r="157" spans="1:58" s="272" customFormat="1" ht="15" customHeight="1">
      <c r="A157" s="272" t="s">
        <v>76</v>
      </c>
      <c r="B157" s="272" t="str">
        <f>IF(AQ166=0,"Hide","Show")</f>
        <v>Show</v>
      </c>
      <c r="I157" s="419" t="str">
        <f t="shared" ref="I157:I164" si="49">I156</f>
        <v>53903</v>
      </c>
      <c r="K157" s="406"/>
      <c r="R157" s="414" t="s">
        <v>22</v>
      </c>
      <c r="S157" s="322"/>
      <c r="T157" s="322"/>
      <c r="U157" s="322"/>
      <c r="V157" s="322"/>
      <c r="W157" s="322"/>
      <c r="X157" s="322"/>
      <c r="Y157" s="322"/>
      <c r="Z157" s="322"/>
      <c r="AA157" s="322"/>
      <c r="AB157" s="352"/>
      <c r="AC157" s="352"/>
      <c r="AD157" s="352"/>
      <c r="AE157" s="352"/>
      <c r="AF157" s="423"/>
      <c r="AG157" s="352"/>
      <c r="AH157" s="423"/>
      <c r="AI157" s="352"/>
      <c r="AJ157" s="352"/>
      <c r="AK157" s="352"/>
      <c r="AL157" s="352"/>
      <c r="AM157" s="352"/>
      <c r="AN157" s="352"/>
      <c r="AO157" s="386"/>
      <c r="AP157" s="352"/>
      <c r="AQ157" s="322"/>
      <c r="AR157" s="322"/>
      <c r="AS157" s="420"/>
      <c r="AU157" s="421" t="s">
        <v>301</v>
      </c>
      <c r="AV157" s="421" t="str">
        <f>$V$33</f>
        <v>FY 2012</v>
      </c>
      <c r="AW157" s="421" t="str">
        <f>$X$33</f>
        <v>FY 2013</v>
      </c>
      <c r="AX157" s="421" t="str">
        <f>$Z$33</f>
        <v>FY 2014</v>
      </c>
      <c r="AY157" s="421" t="str">
        <f>$AB$33</f>
        <v>FY - 2015</v>
      </c>
      <c r="AZ157" s="421" t="s">
        <v>327</v>
      </c>
      <c r="BA157" s="421" t="s">
        <v>328</v>
      </c>
      <c r="BB157" s="421" t="s">
        <v>329</v>
      </c>
      <c r="BC157" s="421" t="s">
        <v>330</v>
      </c>
      <c r="BD157" s="421" t="s">
        <v>289</v>
      </c>
      <c r="BE157" s="421" t="s">
        <v>331</v>
      </c>
      <c r="BF157" s="421" t="s">
        <v>332</v>
      </c>
    </row>
    <row r="158" spans="1:58" ht="15.6" customHeight="1">
      <c r="A158" s="271" t="s">
        <v>311</v>
      </c>
      <c r="B158" s="271" t="str">
        <f t="shared" ref="B158:B164" si="50">IF(AQ158=0,"Hide","Show")</f>
        <v>Show</v>
      </c>
      <c r="I158" s="413" t="str">
        <f t="shared" si="49"/>
        <v>53903</v>
      </c>
      <c r="K158" s="337" t="s">
        <v>401</v>
      </c>
      <c r="L158" s="275" t="str">
        <f t="shared" ref="L158:L164" si="51">$F$22</f>
        <v>001</v>
      </c>
      <c r="M158" s="275" t="str">
        <f t="shared" ref="M158:M164" si="52">$J$7</f>
        <v>10/1/2016..9/30/2017</v>
      </c>
      <c r="N158" s="274" t="str">
        <f t="shared" ref="N158:N164" si="53">$D$6</f>
        <v>HARMONY CDD</v>
      </c>
      <c r="O158" s="387" t="str">
        <f t="shared" ref="O158:O164" si="54">IF(I158="","500000 51800",K158&amp;" "&amp;I158)</f>
        <v>543006 53903</v>
      </c>
      <c r="P158" s="283" t="str">
        <f t="shared" ref="P158:P164" si="55">K158</f>
        <v>543006</v>
      </c>
      <c r="R158" s="389" t="s">
        <v>402</v>
      </c>
      <c r="S158" s="308"/>
      <c r="T158" s="388">
        <v>15673</v>
      </c>
      <c r="U158" s="401"/>
      <c r="V158" s="388">
        <v>0</v>
      </c>
      <c r="W158" s="338"/>
      <c r="X158" s="388">
        <v>0</v>
      </c>
      <c r="Y158" s="338"/>
      <c r="Z158" s="388">
        <v>0</v>
      </c>
      <c r="AA158" s="338"/>
      <c r="AB158" s="354">
        <v>29780</v>
      </c>
      <c r="AC158" s="351"/>
      <c r="AD158" s="354">
        <v>0</v>
      </c>
      <c r="AE158" s="354"/>
      <c r="AF158" s="354">
        <v>32000</v>
      </c>
      <c r="AG158" s="354"/>
      <c r="AH158" s="354">
        <v>23070</v>
      </c>
      <c r="AI158" s="354"/>
      <c r="AJ158" s="391">
        <f>+AF158-AH158</f>
        <v>8930</v>
      </c>
      <c r="AK158" s="354"/>
      <c r="AL158" s="350">
        <f t="shared" ref="AL158:AL164" si="56">IF(ISERROR(AH158+AJ158),0,(AH158+AJ158))</f>
        <v>32000</v>
      </c>
      <c r="AM158" s="354"/>
      <c r="AN158" s="354">
        <v>0</v>
      </c>
      <c r="AO158" s="354"/>
      <c r="AP158" s="391">
        <v>32000</v>
      </c>
      <c r="AQ158" s="344">
        <f t="shared" ref="AQ158:AQ164" si="57">ABS(SUMIF(V158:AP158,"&gt;0")-SUMIF(V158:AP158,"&lt;0"))</f>
        <v>157780</v>
      </c>
      <c r="AR158" s="308"/>
      <c r="AS158" s="345"/>
    </row>
    <row r="159" spans="1:58" ht="15.6" customHeight="1">
      <c r="A159" s="271" t="s">
        <v>311</v>
      </c>
      <c r="B159" s="271" t="str">
        <f t="shared" si="50"/>
        <v>Show</v>
      </c>
      <c r="I159" s="413" t="str">
        <f t="shared" si="49"/>
        <v>53903</v>
      </c>
      <c r="K159" s="337" t="str">
        <f>"543013"</f>
        <v>543013</v>
      </c>
      <c r="L159" s="275" t="str">
        <f t="shared" si="51"/>
        <v>001</v>
      </c>
      <c r="M159" s="275" t="str">
        <f t="shared" si="52"/>
        <v>10/1/2016..9/30/2017</v>
      </c>
      <c r="N159" s="274" t="str">
        <f t="shared" si="53"/>
        <v>HARMONY CDD</v>
      </c>
      <c r="O159" s="387" t="str">
        <f t="shared" si="54"/>
        <v>543013 53903</v>
      </c>
      <c r="P159" s="283" t="str">
        <f t="shared" si="55"/>
        <v>543013</v>
      </c>
      <c r="R159" s="389" t="s">
        <v>403</v>
      </c>
      <c r="S159" s="308"/>
      <c r="T159" s="388">
        <v>30433</v>
      </c>
      <c r="U159" s="401"/>
      <c r="V159" s="388">
        <v>0</v>
      </c>
      <c r="W159" s="338"/>
      <c r="X159" s="388">
        <v>0</v>
      </c>
      <c r="Y159" s="338"/>
      <c r="Z159" s="388">
        <v>0</v>
      </c>
      <c r="AA159" s="338"/>
      <c r="AB159" s="354">
        <v>69866</v>
      </c>
      <c r="AC159" s="351"/>
      <c r="AD159" s="354">
        <v>0</v>
      </c>
      <c r="AE159" s="354"/>
      <c r="AF159" s="354">
        <v>90206</v>
      </c>
      <c r="AG159" s="354"/>
      <c r="AH159" s="354">
        <v>48729</v>
      </c>
      <c r="AI159" s="354"/>
      <c r="AJ159" s="391">
        <f>75000-AH159</f>
        <v>26271</v>
      </c>
      <c r="AK159" s="354"/>
      <c r="AL159" s="350">
        <f t="shared" si="56"/>
        <v>75000</v>
      </c>
      <c r="AM159" s="354"/>
      <c r="AN159" s="354">
        <v>0</v>
      </c>
      <c r="AO159" s="354"/>
      <c r="AP159" s="391">
        <v>90000</v>
      </c>
      <c r="AQ159" s="344">
        <f t="shared" si="57"/>
        <v>400072</v>
      </c>
      <c r="AR159" s="308"/>
      <c r="AS159" s="345"/>
    </row>
    <row r="160" spans="1:58" ht="15.6" customHeight="1">
      <c r="A160" s="271" t="s">
        <v>311</v>
      </c>
      <c r="B160" s="271" t="str">
        <f t="shared" si="50"/>
        <v>Show</v>
      </c>
      <c r="I160" s="413" t="str">
        <f t="shared" si="49"/>
        <v>53903</v>
      </c>
      <c r="K160" s="337" t="str">
        <f>"543021"</f>
        <v>543021</v>
      </c>
      <c r="L160" s="275" t="str">
        <f t="shared" si="51"/>
        <v>001</v>
      </c>
      <c r="M160" s="275" t="str">
        <f t="shared" si="52"/>
        <v>10/1/2016..9/30/2017</v>
      </c>
      <c r="N160" s="274" t="str">
        <f t="shared" si="53"/>
        <v>HARMONY CDD</v>
      </c>
      <c r="O160" s="387" t="str">
        <f t="shared" si="54"/>
        <v>543021 53903</v>
      </c>
      <c r="P160" s="283" t="str">
        <f t="shared" si="55"/>
        <v>543021</v>
      </c>
      <c r="R160" s="389" t="s">
        <v>404</v>
      </c>
      <c r="S160" s="308"/>
      <c r="T160" s="388">
        <v>25486</v>
      </c>
      <c r="U160" s="401"/>
      <c r="V160" s="388">
        <v>0</v>
      </c>
      <c r="W160" s="338"/>
      <c r="X160" s="388">
        <v>0</v>
      </c>
      <c r="Y160" s="338"/>
      <c r="Z160" s="388">
        <v>0</v>
      </c>
      <c r="AA160" s="338"/>
      <c r="AB160" s="354">
        <v>93431</v>
      </c>
      <c r="AC160" s="351"/>
      <c r="AD160" s="354">
        <v>0</v>
      </c>
      <c r="AE160" s="354"/>
      <c r="AF160" s="354">
        <v>105000</v>
      </c>
      <c r="AG160" s="354"/>
      <c r="AH160" s="354">
        <v>57237</v>
      </c>
      <c r="AI160" s="354"/>
      <c r="AJ160" s="391">
        <f>95000-AH160</f>
        <v>37763</v>
      </c>
      <c r="AK160" s="354"/>
      <c r="AL160" s="350">
        <f t="shared" si="56"/>
        <v>95000</v>
      </c>
      <c r="AM160" s="354"/>
      <c r="AN160" s="354">
        <v>0</v>
      </c>
      <c r="AO160" s="354"/>
      <c r="AP160" s="391">
        <v>105000</v>
      </c>
      <c r="AQ160" s="344">
        <f t="shared" si="57"/>
        <v>493431</v>
      </c>
      <c r="AR160" s="308"/>
      <c r="AS160" s="345"/>
    </row>
    <row r="161" spans="1:58" ht="15.6" customHeight="1">
      <c r="A161" s="271" t="s">
        <v>311</v>
      </c>
      <c r="B161" s="271" t="str">
        <f t="shared" si="50"/>
        <v>Show</v>
      </c>
      <c r="I161" s="413" t="str">
        <f t="shared" si="49"/>
        <v>53903</v>
      </c>
      <c r="K161" s="337" t="str">
        <f>"544006"</f>
        <v>544006</v>
      </c>
      <c r="L161" s="275" t="str">
        <f t="shared" si="51"/>
        <v>001</v>
      </c>
      <c r="M161" s="275" t="str">
        <f t="shared" si="52"/>
        <v>10/1/2016..9/30/2017</v>
      </c>
      <c r="N161" s="274" t="str">
        <f t="shared" si="53"/>
        <v>HARMONY CDD</v>
      </c>
      <c r="O161" s="387" t="str">
        <f t="shared" si="54"/>
        <v>544006 53903</v>
      </c>
      <c r="P161" s="283" t="str">
        <f t="shared" si="55"/>
        <v>544006</v>
      </c>
      <c r="R161" s="389" t="s">
        <v>405</v>
      </c>
      <c r="S161" s="308"/>
      <c r="T161" s="388">
        <v>86861</v>
      </c>
      <c r="U161" s="401"/>
      <c r="V161" s="388">
        <v>0</v>
      </c>
      <c r="W161" s="338"/>
      <c r="X161" s="388">
        <v>0</v>
      </c>
      <c r="Y161" s="338"/>
      <c r="Z161" s="388">
        <v>0</v>
      </c>
      <c r="AA161" s="338"/>
      <c r="AB161" s="354">
        <v>284119</v>
      </c>
      <c r="AC161" s="351"/>
      <c r="AD161" s="354">
        <v>0</v>
      </c>
      <c r="AE161" s="354"/>
      <c r="AF161" s="354">
        <v>208467</v>
      </c>
      <c r="AG161" s="354"/>
      <c r="AH161" s="354">
        <v>138978</v>
      </c>
      <c r="AI161" s="354"/>
      <c r="AJ161" s="391">
        <f>(AH161/8)*12-AH161</f>
        <v>69489</v>
      </c>
      <c r="AK161" s="354"/>
      <c r="AL161" s="350">
        <f t="shared" si="56"/>
        <v>208467</v>
      </c>
      <c r="AM161" s="354"/>
      <c r="AN161" s="354">
        <v>0</v>
      </c>
      <c r="AO161" s="354"/>
      <c r="AP161" s="1456">
        <f>ROUND(12*(AH161/8),0)-27087</f>
        <v>181380</v>
      </c>
      <c r="AQ161" s="344">
        <f t="shared" si="57"/>
        <v>1090900</v>
      </c>
      <c r="AR161" s="308"/>
      <c r="AS161" s="1455" t="s">
        <v>7926</v>
      </c>
    </row>
    <row r="162" spans="1:58" ht="15.6" hidden="1" customHeight="1">
      <c r="A162" s="271" t="s">
        <v>311</v>
      </c>
      <c r="B162" s="271" t="str">
        <f t="shared" si="50"/>
        <v>Hide</v>
      </c>
      <c r="I162" s="413" t="str">
        <f t="shared" si="49"/>
        <v>53903</v>
      </c>
      <c r="K162" s="337" t="str">
        <f>"546006"</f>
        <v>546006</v>
      </c>
      <c r="L162" s="275" t="str">
        <f t="shared" si="51"/>
        <v>001</v>
      </c>
      <c r="M162" s="275" t="str">
        <f t="shared" si="52"/>
        <v>10/1/2016..9/30/2017</v>
      </c>
      <c r="N162" s="274" t="str">
        <f t="shared" si="53"/>
        <v>HARMONY CDD</v>
      </c>
      <c r="O162" s="387" t="str">
        <f t="shared" si="54"/>
        <v>546006 53903</v>
      </c>
      <c r="P162" s="283" t="str">
        <f t="shared" si="55"/>
        <v>546006</v>
      </c>
      <c r="R162" s="389" t="s">
        <v>406</v>
      </c>
      <c r="S162" s="308"/>
      <c r="T162" s="388">
        <v>0</v>
      </c>
      <c r="U162" s="401"/>
      <c r="V162" s="388">
        <v>0</v>
      </c>
      <c r="W162" s="338"/>
      <c r="X162" s="388">
        <v>0</v>
      </c>
      <c r="Y162" s="338"/>
      <c r="Z162" s="388">
        <v>0</v>
      </c>
      <c r="AA162" s="338"/>
      <c r="AB162" s="354">
        <v>0</v>
      </c>
      <c r="AC162" s="351"/>
      <c r="AD162" s="354">
        <v>0</v>
      </c>
      <c r="AE162" s="354"/>
      <c r="AF162" s="354">
        <v>0</v>
      </c>
      <c r="AG162" s="354"/>
      <c r="AH162" s="354">
        <v>0</v>
      </c>
      <c r="AI162" s="354"/>
      <c r="AJ162" s="391">
        <v>0</v>
      </c>
      <c r="AK162" s="354"/>
      <c r="AL162" s="350">
        <f t="shared" si="56"/>
        <v>0</v>
      </c>
      <c r="AM162" s="354"/>
      <c r="AN162" s="354">
        <v>0</v>
      </c>
      <c r="AO162" s="354"/>
      <c r="AP162" s="391">
        <v>0</v>
      </c>
      <c r="AQ162" s="344">
        <f t="shared" si="57"/>
        <v>0</v>
      </c>
      <c r="AR162" s="308"/>
      <c r="AS162" s="345"/>
    </row>
    <row r="163" spans="1:58" ht="15.6" hidden="1" customHeight="1">
      <c r="A163" s="271" t="s">
        <v>311</v>
      </c>
      <c r="B163" s="271" t="str">
        <f t="shared" si="50"/>
        <v>Hide</v>
      </c>
      <c r="I163" s="413" t="str">
        <f t="shared" si="49"/>
        <v>53903</v>
      </c>
      <c r="K163" s="337" t="str">
        <f>"549900"</f>
        <v>549900</v>
      </c>
      <c r="L163" s="275" t="str">
        <f t="shared" si="51"/>
        <v>001</v>
      </c>
      <c r="M163" s="275" t="str">
        <f t="shared" si="52"/>
        <v>10/1/2016..9/30/2017</v>
      </c>
      <c r="N163" s="274" t="str">
        <f t="shared" si="53"/>
        <v>HARMONY CDD</v>
      </c>
      <c r="O163" s="387" t="str">
        <f t="shared" si="54"/>
        <v>549900 53903</v>
      </c>
      <c r="P163" s="283" t="str">
        <f t="shared" si="55"/>
        <v>549900</v>
      </c>
      <c r="R163" s="389" t="s">
        <v>359</v>
      </c>
      <c r="S163" s="308"/>
      <c r="T163" s="388">
        <v>0</v>
      </c>
      <c r="U163" s="401"/>
      <c r="V163" s="388">
        <v>0</v>
      </c>
      <c r="W163" s="338"/>
      <c r="X163" s="388">
        <v>0</v>
      </c>
      <c r="Y163" s="338"/>
      <c r="Z163" s="388">
        <v>0</v>
      </c>
      <c r="AA163" s="338"/>
      <c r="AB163" s="354">
        <v>0</v>
      </c>
      <c r="AC163" s="351"/>
      <c r="AD163" s="354">
        <v>0</v>
      </c>
      <c r="AE163" s="354"/>
      <c r="AF163" s="354">
        <v>0</v>
      </c>
      <c r="AG163" s="354"/>
      <c r="AH163" s="354">
        <v>0</v>
      </c>
      <c r="AI163" s="354"/>
      <c r="AJ163" s="391">
        <v>0</v>
      </c>
      <c r="AK163" s="354"/>
      <c r="AL163" s="350">
        <f t="shared" si="56"/>
        <v>0</v>
      </c>
      <c r="AM163" s="354"/>
      <c r="AN163" s="354">
        <v>0</v>
      </c>
      <c r="AO163" s="354"/>
      <c r="AP163" s="391">
        <v>0</v>
      </c>
      <c r="AQ163" s="344">
        <f t="shared" si="57"/>
        <v>0</v>
      </c>
      <c r="AR163" s="308"/>
      <c r="AS163" s="345"/>
    </row>
    <row r="164" spans="1:58" ht="15.6" customHeight="1">
      <c r="A164" s="271" t="s">
        <v>311</v>
      </c>
      <c r="B164" s="271" t="str">
        <f t="shared" si="50"/>
        <v>Show</v>
      </c>
      <c r="I164" s="413" t="str">
        <f t="shared" si="49"/>
        <v>53903</v>
      </c>
      <c r="K164" s="337" t="str">
        <f>"564090"</f>
        <v>564090</v>
      </c>
      <c r="L164" s="275" t="str">
        <f t="shared" si="51"/>
        <v>001</v>
      </c>
      <c r="M164" s="275" t="str">
        <f t="shared" si="52"/>
        <v>10/1/2016..9/30/2017</v>
      </c>
      <c r="N164" s="274" t="str">
        <f t="shared" si="53"/>
        <v>HARMONY CDD</v>
      </c>
      <c r="O164" s="387" t="str">
        <f t="shared" si="54"/>
        <v>564090 53903</v>
      </c>
      <c r="P164" s="283" t="str">
        <f t="shared" si="55"/>
        <v>564090</v>
      </c>
      <c r="R164" s="389" t="s">
        <v>407</v>
      </c>
      <c r="S164" s="308"/>
      <c r="T164" s="388">
        <v>0</v>
      </c>
      <c r="U164" s="401"/>
      <c r="V164" s="388">
        <v>0</v>
      </c>
      <c r="W164" s="338"/>
      <c r="X164" s="388">
        <v>0</v>
      </c>
      <c r="Y164" s="338"/>
      <c r="Z164" s="388">
        <v>0</v>
      </c>
      <c r="AA164" s="338"/>
      <c r="AB164" s="354">
        <v>679030</v>
      </c>
      <c r="AC164" s="351"/>
      <c r="AD164" s="354">
        <v>0</v>
      </c>
      <c r="AE164" s="354"/>
      <c r="AF164" s="354">
        <v>330638</v>
      </c>
      <c r="AG164" s="354"/>
      <c r="AH164" s="354">
        <v>0</v>
      </c>
      <c r="AI164" s="354"/>
      <c r="AJ164" s="1458">
        <v>365000</v>
      </c>
      <c r="AK164" s="354"/>
      <c r="AL164" s="350">
        <f t="shared" si="56"/>
        <v>365000</v>
      </c>
      <c r="AM164" s="354"/>
      <c r="AN164" s="354">
        <v>0</v>
      </c>
      <c r="AO164" s="354"/>
      <c r="AP164" s="391">
        <v>330000</v>
      </c>
      <c r="AQ164" s="344">
        <f t="shared" si="57"/>
        <v>2069668</v>
      </c>
      <c r="AR164" s="308"/>
      <c r="AS164" s="1459" t="s">
        <v>7927</v>
      </c>
    </row>
    <row r="165" spans="1:58" ht="3.95" hidden="1" customHeight="1">
      <c r="A165" s="271" t="s">
        <v>76</v>
      </c>
      <c r="B165" s="274" t="s">
        <v>31</v>
      </c>
      <c r="I165" s="413" t="str">
        <f>I158</f>
        <v>53903</v>
      </c>
      <c r="N165" s="274"/>
      <c r="P165" s="283"/>
      <c r="R165" s="308"/>
      <c r="S165" s="308"/>
      <c r="T165" s="401"/>
      <c r="U165" s="308"/>
      <c r="V165" s="401"/>
      <c r="W165" s="308"/>
      <c r="X165" s="401"/>
      <c r="Y165" s="308"/>
      <c r="Z165" s="401"/>
      <c r="AA165" s="308"/>
      <c r="AB165" s="383"/>
      <c r="AC165" s="402"/>
      <c r="AD165" s="383"/>
      <c r="AE165" s="402"/>
      <c r="AF165" s="383"/>
      <c r="AG165" s="402"/>
      <c r="AH165" s="383"/>
      <c r="AI165" s="402"/>
      <c r="AJ165" s="383"/>
      <c r="AK165" s="402"/>
      <c r="AL165" s="383"/>
      <c r="AM165" s="402"/>
      <c r="AN165" s="383"/>
      <c r="AO165" s="383"/>
      <c r="AP165" s="383"/>
      <c r="AQ165" s="308"/>
      <c r="AR165" s="308"/>
      <c r="AS165" s="403"/>
    </row>
    <row r="166" spans="1:58" ht="15" customHeight="1">
      <c r="A166" s="271" t="s">
        <v>76</v>
      </c>
      <c r="B166" s="271" t="str">
        <f>IF(AQ166=0,"Hide","Show")</f>
        <v>Show</v>
      </c>
      <c r="I166" s="413" t="str">
        <f t="shared" ref="I166:I167" si="58">I165</f>
        <v>53903</v>
      </c>
      <c r="N166" s="274"/>
      <c r="P166" s="283"/>
      <c r="R166" s="417" t="str">
        <f>"Total "&amp;($R157)</f>
        <v>Total Utilities</v>
      </c>
      <c r="S166" s="308"/>
      <c r="T166" s="393">
        <f>SUM(T158:T165)</f>
        <v>158453</v>
      </c>
      <c r="U166" s="322"/>
      <c r="V166" s="393">
        <f>SUM(V158:V165)</f>
        <v>0</v>
      </c>
      <c r="W166" s="404"/>
      <c r="X166" s="393">
        <f>SUM(X158:X165)</f>
        <v>0</v>
      </c>
      <c r="Y166" s="404"/>
      <c r="Z166" s="393">
        <f>SUM(Z158:Z165)</f>
        <v>0</v>
      </c>
      <c r="AA166" s="404"/>
      <c r="AB166" s="394">
        <f>SUM(AB158:AB165)</f>
        <v>1156226</v>
      </c>
      <c r="AC166" s="405"/>
      <c r="AD166" s="394">
        <f>SUM(AD158:AD165)</f>
        <v>0</v>
      </c>
      <c r="AE166" s="386"/>
      <c r="AF166" s="394">
        <f>SUM(AF158:AF165)</f>
        <v>766311</v>
      </c>
      <c r="AG166" s="405"/>
      <c r="AH166" s="394">
        <f>SUM(AH158:AH165)</f>
        <v>268014</v>
      </c>
      <c r="AI166" s="405"/>
      <c r="AJ166" s="394">
        <f>SUM(AJ158:AJ165)</f>
        <v>507453</v>
      </c>
      <c r="AK166" s="405"/>
      <c r="AL166" s="394">
        <f>SUM(AL158:AL165)</f>
        <v>775467</v>
      </c>
      <c r="AM166" s="405"/>
      <c r="AN166" s="394">
        <f>SUM(AN158:AN165)</f>
        <v>0</v>
      </c>
      <c r="AO166" s="405"/>
      <c r="AP166" s="394">
        <f>SUM(AP158:AP165)</f>
        <v>738380</v>
      </c>
      <c r="AQ166" s="344">
        <f>ABS(SUMIF(V166:AP166,"&gt;0")-SUMIF(V166:AP166,"&lt;0"))</f>
        <v>4211851</v>
      </c>
      <c r="AR166" s="308"/>
      <c r="AS166" s="403"/>
      <c r="AU166" s="274">
        <f>SUM(T157:T165)</f>
        <v>158453</v>
      </c>
      <c r="AV166" s="274">
        <f>SUM(V157:V165)</f>
        <v>0</v>
      </c>
      <c r="AW166" s="274">
        <f>SUM(X157:X165)</f>
        <v>0</v>
      </c>
      <c r="AX166" s="274">
        <f>SUM(Z157:Z165)</f>
        <v>0</v>
      </c>
      <c r="AY166" s="274">
        <f>SUM(AB157:AB165)</f>
        <v>1156226</v>
      </c>
      <c r="AZ166" s="274">
        <f>SUM(AD157:AD165)</f>
        <v>0</v>
      </c>
      <c r="BA166" s="274">
        <f>SUM(AF157:AF165)</f>
        <v>766311</v>
      </c>
      <c r="BB166" s="274">
        <f>SUM(AH157:AH165)</f>
        <v>268014</v>
      </c>
      <c r="BC166" s="274">
        <f>SUM(AJ157:AJ165)</f>
        <v>507453</v>
      </c>
      <c r="BD166" s="274">
        <f>SUM(AL157:AL165)</f>
        <v>775467</v>
      </c>
      <c r="BE166" s="274">
        <f>SUM(AN157:AN165)</f>
        <v>0</v>
      </c>
      <c r="BF166" s="274">
        <f>SUM(AP157:AP165)</f>
        <v>738380</v>
      </c>
    </row>
    <row r="167" spans="1:58" s="272" customFormat="1" ht="15.6" customHeight="1">
      <c r="A167" s="272" t="s">
        <v>76</v>
      </c>
      <c r="B167" s="272" t="str">
        <f>B166</f>
        <v>Show</v>
      </c>
      <c r="I167" s="419" t="str">
        <f t="shared" si="58"/>
        <v>53903</v>
      </c>
      <c r="K167" s="406"/>
      <c r="P167" s="283"/>
      <c r="R167" s="407" t="s">
        <v>333</v>
      </c>
      <c r="S167" s="322"/>
      <c r="T167" s="322"/>
      <c r="U167" s="322"/>
      <c r="V167" s="322"/>
      <c r="W167" s="322"/>
      <c r="X167" s="322"/>
      <c r="Y167" s="322"/>
      <c r="Z167" s="322"/>
      <c r="AA167" s="322"/>
      <c r="AB167" s="352"/>
      <c r="AC167" s="352"/>
      <c r="AD167" s="352"/>
      <c r="AE167" s="352"/>
      <c r="AF167" s="352"/>
      <c r="AG167" s="352"/>
      <c r="AH167" s="352"/>
      <c r="AI167" s="352"/>
      <c r="AJ167" s="352"/>
      <c r="AK167" s="352"/>
      <c r="AL167" s="408">
        <f>AF166-AL166</f>
        <v>-9156</v>
      </c>
      <c r="AM167" s="352"/>
      <c r="AN167" s="352"/>
      <c r="AO167" s="386"/>
      <c r="AP167" s="352"/>
      <c r="AQ167" s="322"/>
      <c r="AR167" s="322"/>
      <c r="AS167" s="409" t="s">
        <v>363</v>
      </c>
    </row>
    <row r="168" spans="1:58" hidden="1">
      <c r="A168" s="271" t="s">
        <v>76</v>
      </c>
      <c r="B168" s="271" t="s">
        <v>31</v>
      </c>
      <c r="H168" s="272" t="s">
        <v>365</v>
      </c>
      <c r="I168" s="412" t="str">
        <f>"53910"</f>
        <v>53910</v>
      </c>
      <c r="N168" s="274"/>
      <c r="R168" s="308"/>
      <c r="S168" s="308"/>
      <c r="T168" s="308"/>
      <c r="U168" s="308"/>
      <c r="V168" s="308"/>
      <c r="W168" s="308"/>
      <c r="X168" s="308"/>
      <c r="Y168" s="308"/>
      <c r="Z168" s="308"/>
      <c r="AA168" s="308"/>
      <c r="AB168" s="402"/>
      <c r="AC168" s="402"/>
      <c r="AD168" s="402"/>
      <c r="AE168" s="402"/>
      <c r="AF168" s="402"/>
      <c r="AG168" s="402"/>
      <c r="AH168" s="402"/>
      <c r="AI168" s="402"/>
      <c r="AJ168" s="402"/>
      <c r="AK168" s="402"/>
      <c r="AL168" s="411"/>
      <c r="AM168" s="402"/>
      <c r="AN168" s="402"/>
      <c r="AO168" s="383"/>
      <c r="AP168" s="402"/>
      <c r="AQ168" s="308"/>
      <c r="AR168" s="308"/>
      <c r="AS168" s="403"/>
    </row>
    <row r="169" spans="1:58" s="272" customFormat="1" ht="15" customHeight="1">
      <c r="A169" s="322" t="s">
        <v>76</v>
      </c>
      <c r="B169" s="322" t="str">
        <f>IF(AQ206=0,"Hide","Show")</f>
        <v>Show</v>
      </c>
      <c r="C169" s="322"/>
      <c r="D169" s="322"/>
      <c r="E169" s="322"/>
      <c r="F169" s="322"/>
      <c r="G169" s="322"/>
      <c r="H169" s="322"/>
      <c r="I169" s="322" t="str">
        <f t="shared" ref="I169:I180" si="59">I168</f>
        <v>53910</v>
      </c>
      <c r="J169" s="322"/>
      <c r="K169" s="322"/>
      <c r="L169" s="322"/>
      <c r="M169" s="322"/>
      <c r="N169" s="322"/>
      <c r="O169" s="322"/>
      <c r="P169" s="322"/>
      <c r="Q169" s="322"/>
      <c r="R169" s="414" t="s">
        <v>408</v>
      </c>
      <c r="S169" s="322"/>
      <c r="T169" s="322"/>
      <c r="U169" s="322"/>
      <c r="V169" s="322"/>
      <c r="W169" s="322"/>
      <c r="X169" s="322"/>
      <c r="Y169" s="322"/>
      <c r="Z169" s="322"/>
      <c r="AA169" s="322"/>
      <c r="AB169" s="352"/>
      <c r="AC169" s="352"/>
      <c r="AD169" s="352"/>
      <c r="AE169" s="352"/>
      <c r="AF169" s="352"/>
      <c r="AG169" s="352"/>
      <c r="AH169" s="352"/>
      <c r="AI169" s="352"/>
      <c r="AJ169" s="352"/>
      <c r="AK169" s="352"/>
      <c r="AL169" s="352"/>
      <c r="AM169" s="352"/>
      <c r="AN169" s="352"/>
      <c r="AO169" s="386"/>
      <c r="AP169" s="352"/>
      <c r="AQ169" s="322"/>
      <c r="AR169" s="322"/>
      <c r="AS169" s="420"/>
      <c r="AU169" s="421" t="s">
        <v>301</v>
      </c>
      <c r="AV169" s="421" t="str">
        <f>$V$33</f>
        <v>FY 2012</v>
      </c>
      <c r="AW169" s="421" t="str">
        <f>$X$33</f>
        <v>FY 2013</v>
      </c>
      <c r="AX169" s="421" t="str">
        <f>$Z$33</f>
        <v>FY 2014</v>
      </c>
      <c r="AY169" s="421" t="str">
        <f>$AB$33</f>
        <v>FY - 2015</v>
      </c>
      <c r="AZ169" s="421" t="s">
        <v>327</v>
      </c>
      <c r="BA169" s="421" t="s">
        <v>328</v>
      </c>
      <c r="BB169" s="421" t="s">
        <v>329</v>
      </c>
      <c r="BC169" s="421" t="s">
        <v>330</v>
      </c>
      <c r="BD169" s="421" t="s">
        <v>289</v>
      </c>
      <c r="BE169" s="421" t="s">
        <v>331</v>
      </c>
      <c r="BF169" s="421" t="s">
        <v>332</v>
      </c>
    </row>
    <row r="170" spans="1:58" ht="15.6" hidden="1" customHeight="1">
      <c r="A170" s="271" t="s">
        <v>311</v>
      </c>
      <c r="B170" s="271" t="str">
        <f t="shared" ref="B170:B180" si="60">IF(AQ170=0,"Hide","Show")</f>
        <v>Hide</v>
      </c>
      <c r="I170" s="413" t="str">
        <f t="shared" si="59"/>
        <v>53910</v>
      </c>
      <c r="K170" s="337" t="s">
        <v>409</v>
      </c>
      <c r="L170" s="275" t="str">
        <f t="shared" ref="L170:L180" si="61">$F$22</f>
        <v>001</v>
      </c>
      <c r="M170" s="275" t="str">
        <f t="shared" ref="M170:M180" si="62">$J$7</f>
        <v>10/1/2016..9/30/2017</v>
      </c>
      <c r="N170" s="274" t="str">
        <f t="shared" ref="N170:N180" si="63">$D$6</f>
        <v>HARMONY CDD</v>
      </c>
      <c r="O170" s="387" t="str">
        <f t="shared" ref="O170:O180" si="64">IF(I170="","500000 51800",K170&amp;" "&amp;I170)</f>
        <v>531016 53910</v>
      </c>
      <c r="P170" s="283" t="str">
        <f t="shared" ref="P170:P180" si="65">K170</f>
        <v>531016</v>
      </c>
      <c r="R170" s="389" t="s">
        <v>373</v>
      </c>
      <c r="S170" s="308"/>
      <c r="T170" s="388">
        <v>0</v>
      </c>
      <c r="U170" s="401"/>
      <c r="V170" s="388">
        <v>0</v>
      </c>
      <c r="W170" s="338"/>
      <c r="X170" s="388">
        <v>0</v>
      </c>
      <c r="Y170" s="338"/>
      <c r="Z170" s="388">
        <v>0</v>
      </c>
      <c r="AA170" s="338"/>
      <c r="AB170" s="354">
        <v>0</v>
      </c>
      <c r="AC170" s="351"/>
      <c r="AD170" s="354">
        <v>0</v>
      </c>
      <c r="AE170" s="354"/>
      <c r="AF170" s="354">
        <v>0</v>
      </c>
      <c r="AG170" s="354"/>
      <c r="AH170" s="354">
        <v>0</v>
      </c>
      <c r="AI170" s="354"/>
      <c r="AJ170" s="391">
        <v>0</v>
      </c>
      <c r="AK170" s="354"/>
      <c r="AL170" s="350">
        <f t="shared" ref="AL170:AL204" si="66">IF(ISERROR(AH170+AJ170),0,(AH170+AJ170))</f>
        <v>0</v>
      </c>
      <c r="AM170" s="354"/>
      <c r="AN170" s="354">
        <v>0</v>
      </c>
      <c r="AO170" s="354"/>
      <c r="AP170" s="391">
        <f>IF($F$13="YES",AF170,AN170)</f>
        <v>0</v>
      </c>
      <c r="AQ170" s="344">
        <f t="shared" ref="AQ170:AQ180" si="67">ABS(SUMIF(V170:AP170,"&gt;0")-SUMIF(V170:AP170,"&lt;0"))</f>
        <v>0</v>
      </c>
      <c r="AR170" s="308"/>
      <c r="AS170" s="345"/>
    </row>
    <row r="171" spans="1:58" ht="15.6" customHeight="1">
      <c r="A171" s="271" t="s">
        <v>311</v>
      </c>
      <c r="B171" s="271" t="str">
        <f t="shared" si="60"/>
        <v>Show</v>
      </c>
      <c r="I171" s="413" t="str">
        <f t="shared" si="59"/>
        <v>53910</v>
      </c>
      <c r="K171" s="337" t="str">
        <f>"534021"</f>
        <v>534021</v>
      </c>
      <c r="L171" s="275" t="str">
        <f t="shared" si="61"/>
        <v>001</v>
      </c>
      <c r="M171" s="275" t="str">
        <f t="shared" si="62"/>
        <v>10/1/2016..9/30/2017</v>
      </c>
      <c r="N171" s="274" t="str">
        <f t="shared" si="63"/>
        <v>HARMONY CDD</v>
      </c>
      <c r="O171" s="387" t="str">
        <f t="shared" si="64"/>
        <v>534021 53910</v>
      </c>
      <c r="P171" s="283" t="str">
        <f t="shared" si="65"/>
        <v>534021</v>
      </c>
      <c r="R171" s="389" t="s">
        <v>410</v>
      </c>
      <c r="S171" s="308"/>
      <c r="T171" s="388">
        <v>3924</v>
      </c>
      <c r="U171" s="401"/>
      <c r="V171" s="388">
        <v>0</v>
      </c>
      <c r="W171" s="338"/>
      <c r="X171" s="388">
        <v>0</v>
      </c>
      <c r="Y171" s="338"/>
      <c r="Z171" s="388">
        <v>0</v>
      </c>
      <c r="AA171" s="338"/>
      <c r="AB171" s="354">
        <v>15696</v>
      </c>
      <c r="AC171" s="351"/>
      <c r="AD171" s="354">
        <v>0</v>
      </c>
      <c r="AE171" s="354"/>
      <c r="AF171" s="354">
        <v>20000</v>
      </c>
      <c r="AG171" s="354"/>
      <c r="AH171" s="354">
        <v>3924</v>
      </c>
      <c r="AI171" s="354"/>
      <c r="AJ171" s="391">
        <v>0</v>
      </c>
      <c r="AK171" s="354"/>
      <c r="AL171" s="350">
        <f t="shared" si="66"/>
        <v>3924</v>
      </c>
      <c r="AM171" s="354"/>
      <c r="AN171" s="354">
        <v>0</v>
      </c>
      <c r="AO171" s="354"/>
      <c r="AP171" s="391">
        <v>0</v>
      </c>
      <c r="AQ171" s="344">
        <f t="shared" si="67"/>
        <v>43544</v>
      </c>
      <c r="AR171" s="308"/>
      <c r="AS171" s="345"/>
    </row>
    <row r="172" spans="1:58" ht="15.6" hidden="1" customHeight="1">
      <c r="A172" s="271" t="s">
        <v>311</v>
      </c>
      <c r="B172" s="271" t="str">
        <f t="shared" si="60"/>
        <v>Hide</v>
      </c>
      <c r="I172" s="413" t="str">
        <f t="shared" si="59"/>
        <v>53910</v>
      </c>
      <c r="K172" s="337" t="str">
        <f>"540003"</f>
        <v>540003</v>
      </c>
      <c r="L172" s="275" t="str">
        <f t="shared" si="61"/>
        <v>001</v>
      </c>
      <c r="M172" s="275" t="str">
        <f t="shared" si="62"/>
        <v>10/1/2016..9/30/2017</v>
      </c>
      <c r="N172" s="274" t="str">
        <f t="shared" si="63"/>
        <v>HARMONY CDD</v>
      </c>
      <c r="O172" s="387" t="str">
        <f t="shared" si="64"/>
        <v>540003 53910</v>
      </c>
      <c r="P172" s="283" t="str">
        <f t="shared" si="65"/>
        <v>540003</v>
      </c>
      <c r="R172" s="389" t="s">
        <v>411</v>
      </c>
      <c r="S172" s="308"/>
      <c r="T172" s="388">
        <v>0</v>
      </c>
      <c r="U172" s="401"/>
      <c r="V172" s="388">
        <v>0</v>
      </c>
      <c r="W172" s="338"/>
      <c r="X172" s="388">
        <v>0</v>
      </c>
      <c r="Y172" s="338"/>
      <c r="Z172" s="388">
        <v>0</v>
      </c>
      <c r="AA172" s="338"/>
      <c r="AB172" s="354">
        <v>0</v>
      </c>
      <c r="AC172" s="351"/>
      <c r="AD172" s="354">
        <v>0</v>
      </c>
      <c r="AE172" s="354"/>
      <c r="AF172" s="354">
        <v>0</v>
      </c>
      <c r="AG172" s="354"/>
      <c r="AH172" s="354">
        <v>0</v>
      </c>
      <c r="AI172" s="354"/>
      <c r="AJ172" s="391">
        <v>0</v>
      </c>
      <c r="AK172" s="354"/>
      <c r="AL172" s="350">
        <f t="shared" si="66"/>
        <v>0</v>
      </c>
      <c r="AM172" s="354"/>
      <c r="AN172" s="354">
        <v>0</v>
      </c>
      <c r="AO172" s="354"/>
      <c r="AP172" s="391">
        <v>0</v>
      </c>
      <c r="AQ172" s="344">
        <f t="shared" si="67"/>
        <v>0</v>
      </c>
      <c r="AR172" s="308"/>
      <c r="AS172" s="345"/>
    </row>
    <row r="173" spans="1:58" ht="15.6" customHeight="1">
      <c r="A173" s="271" t="s">
        <v>311</v>
      </c>
      <c r="B173" s="271" t="str">
        <f t="shared" si="60"/>
        <v>Show</v>
      </c>
      <c r="I173" s="413" t="str">
        <f t="shared" si="59"/>
        <v>53910</v>
      </c>
      <c r="K173" s="337" t="str">
        <f>"541003"</f>
        <v>541003</v>
      </c>
      <c r="L173" s="275" t="str">
        <f t="shared" si="61"/>
        <v>001</v>
      </c>
      <c r="M173" s="275" t="str">
        <f t="shared" si="62"/>
        <v>10/1/2016..9/30/2017</v>
      </c>
      <c r="N173" s="274" t="str">
        <f t="shared" si="63"/>
        <v>HARMONY CDD</v>
      </c>
      <c r="O173" s="387" t="str">
        <f t="shared" si="64"/>
        <v>541003 53910</v>
      </c>
      <c r="P173" s="283" t="str">
        <f t="shared" si="65"/>
        <v>541003</v>
      </c>
      <c r="R173" s="389" t="s">
        <v>350</v>
      </c>
      <c r="S173" s="308"/>
      <c r="T173" s="388">
        <v>1525</v>
      </c>
      <c r="U173" s="401"/>
      <c r="V173" s="388">
        <v>0</v>
      </c>
      <c r="W173" s="338"/>
      <c r="X173" s="388">
        <v>0</v>
      </c>
      <c r="Y173" s="338"/>
      <c r="Z173" s="388">
        <v>0</v>
      </c>
      <c r="AA173" s="338"/>
      <c r="AB173" s="354">
        <v>3826</v>
      </c>
      <c r="AC173" s="351"/>
      <c r="AD173" s="354">
        <v>0</v>
      </c>
      <c r="AE173" s="354"/>
      <c r="AF173" s="354">
        <v>4000</v>
      </c>
      <c r="AG173" s="354"/>
      <c r="AH173" s="354">
        <v>2440</v>
      </c>
      <c r="AI173" s="354"/>
      <c r="AJ173" s="391">
        <f>305*12-AH173</f>
        <v>1220</v>
      </c>
      <c r="AK173" s="354"/>
      <c r="AL173" s="350">
        <f t="shared" si="66"/>
        <v>3660</v>
      </c>
      <c r="AM173" s="354"/>
      <c r="AN173" s="354">
        <v>0</v>
      </c>
      <c r="AO173" s="354"/>
      <c r="AP173" s="391">
        <f>310*12</f>
        <v>3720</v>
      </c>
      <c r="AQ173" s="344">
        <f t="shared" si="67"/>
        <v>18866</v>
      </c>
      <c r="AR173" s="308"/>
      <c r="AS173" s="345"/>
    </row>
    <row r="174" spans="1:58" ht="15.6" customHeight="1">
      <c r="A174" s="271" t="s">
        <v>311</v>
      </c>
      <c r="B174" s="271" t="str">
        <f t="shared" si="60"/>
        <v>Show</v>
      </c>
      <c r="I174" s="413" t="str">
        <f t="shared" si="59"/>
        <v>53910</v>
      </c>
      <c r="K174" s="337" t="str">
        <f>"543020"</f>
        <v>543020</v>
      </c>
      <c r="L174" s="275" t="str">
        <f t="shared" si="61"/>
        <v>001</v>
      </c>
      <c r="M174" s="275" t="str">
        <f t="shared" si="62"/>
        <v>10/1/2016..9/30/2017</v>
      </c>
      <c r="N174" s="274" t="str">
        <f t="shared" si="63"/>
        <v>HARMONY CDD</v>
      </c>
      <c r="O174" s="387" t="str">
        <f t="shared" si="64"/>
        <v>543020 53910</v>
      </c>
      <c r="P174" s="283" t="str">
        <f t="shared" si="65"/>
        <v>543020</v>
      </c>
      <c r="R174" s="389" t="s">
        <v>387</v>
      </c>
      <c r="S174" s="308"/>
      <c r="T174" s="388">
        <v>1208</v>
      </c>
      <c r="U174" s="401"/>
      <c r="V174" s="388">
        <v>0</v>
      </c>
      <c r="W174" s="338"/>
      <c r="X174" s="388">
        <v>0</v>
      </c>
      <c r="Y174" s="338"/>
      <c r="Z174" s="388">
        <v>0</v>
      </c>
      <c r="AA174" s="338"/>
      <c r="AB174" s="354">
        <v>2857</v>
      </c>
      <c r="AC174" s="351"/>
      <c r="AD174" s="354">
        <v>0</v>
      </c>
      <c r="AE174" s="354"/>
      <c r="AF174" s="354">
        <v>3000</v>
      </c>
      <c r="AG174" s="354"/>
      <c r="AH174" s="354">
        <v>1949</v>
      </c>
      <c r="AI174" s="354"/>
      <c r="AJ174" s="391">
        <f>+AH174/8*4</f>
        <v>974.5</v>
      </c>
      <c r="AK174" s="354"/>
      <c r="AL174" s="350">
        <f t="shared" si="66"/>
        <v>2923.5</v>
      </c>
      <c r="AM174" s="354"/>
      <c r="AN174" s="354">
        <v>0</v>
      </c>
      <c r="AO174" s="354"/>
      <c r="AP174" s="391">
        <f>250*12</f>
        <v>3000</v>
      </c>
      <c r="AQ174" s="344">
        <f t="shared" si="67"/>
        <v>14704</v>
      </c>
      <c r="AR174" s="308"/>
      <c r="AS174" s="422"/>
    </row>
    <row r="175" spans="1:58" ht="15.6" hidden="1" customHeight="1">
      <c r="A175" s="271" t="s">
        <v>311</v>
      </c>
      <c r="B175" s="271" t="str">
        <f t="shared" si="60"/>
        <v>Hide</v>
      </c>
      <c r="I175" s="413" t="str">
        <f t="shared" si="59"/>
        <v>53910</v>
      </c>
      <c r="K175" s="337" t="str">
        <f>"546002"</f>
        <v>546002</v>
      </c>
      <c r="L175" s="275" t="str">
        <f t="shared" si="61"/>
        <v>001</v>
      </c>
      <c r="M175" s="275" t="str">
        <f t="shared" si="62"/>
        <v>10/1/2016..9/30/2017</v>
      </c>
      <c r="N175" s="274" t="str">
        <f t="shared" si="63"/>
        <v>HARMONY CDD</v>
      </c>
      <c r="O175" s="387" t="str">
        <f t="shared" si="64"/>
        <v>546002 53910</v>
      </c>
      <c r="P175" s="283" t="str">
        <f t="shared" si="65"/>
        <v>546002</v>
      </c>
      <c r="R175" s="389" t="s">
        <v>412</v>
      </c>
      <c r="S175" s="308"/>
      <c r="T175" s="388">
        <v>0</v>
      </c>
      <c r="U175" s="401"/>
      <c r="V175" s="388">
        <v>0</v>
      </c>
      <c r="W175" s="338"/>
      <c r="X175" s="388">
        <v>0</v>
      </c>
      <c r="Y175" s="338"/>
      <c r="Z175" s="388">
        <v>0</v>
      </c>
      <c r="AA175" s="338"/>
      <c r="AB175" s="354">
        <v>0</v>
      </c>
      <c r="AC175" s="351"/>
      <c r="AD175" s="354">
        <v>0</v>
      </c>
      <c r="AE175" s="354"/>
      <c r="AF175" s="354">
        <v>0</v>
      </c>
      <c r="AG175" s="354"/>
      <c r="AH175" s="354">
        <v>0</v>
      </c>
      <c r="AI175" s="354"/>
      <c r="AJ175" s="391">
        <v>0</v>
      </c>
      <c r="AK175" s="354"/>
      <c r="AL175" s="350">
        <f t="shared" si="66"/>
        <v>0</v>
      </c>
      <c r="AM175" s="354"/>
      <c r="AN175" s="354">
        <v>0</v>
      </c>
      <c r="AO175" s="354"/>
      <c r="AP175" s="391">
        <v>0</v>
      </c>
      <c r="AQ175" s="344">
        <f t="shared" si="67"/>
        <v>0</v>
      </c>
      <c r="AR175" s="308"/>
      <c r="AS175" s="345"/>
    </row>
    <row r="176" spans="1:58" ht="15.6" hidden="1" customHeight="1">
      <c r="A176" s="271" t="s">
        <v>311</v>
      </c>
      <c r="B176" s="271" t="str">
        <f t="shared" si="60"/>
        <v>Hide</v>
      </c>
      <c r="I176" s="413" t="str">
        <f t="shared" si="59"/>
        <v>53910</v>
      </c>
      <c r="K176" s="337" t="str">
        <f>"546015"</f>
        <v>546015</v>
      </c>
      <c r="L176" s="275" t="str">
        <f t="shared" si="61"/>
        <v>001</v>
      </c>
      <c r="M176" s="275" t="str">
        <f t="shared" si="62"/>
        <v>10/1/2016..9/30/2017</v>
      </c>
      <c r="N176" s="274" t="str">
        <f t="shared" si="63"/>
        <v>HARMONY CDD</v>
      </c>
      <c r="O176" s="387" t="str">
        <f t="shared" si="64"/>
        <v>546015 53910</v>
      </c>
      <c r="P176" s="283" t="str">
        <f t="shared" si="65"/>
        <v>546015</v>
      </c>
      <c r="R176" s="389" t="s">
        <v>413</v>
      </c>
      <c r="S176" s="308"/>
      <c r="T176" s="388">
        <v>0</v>
      </c>
      <c r="U176" s="401"/>
      <c r="V176" s="388">
        <v>0</v>
      </c>
      <c r="W176" s="338"/>
      <c r="X176" s="388">
        <v>0</v>
      </c>
      <c r="Y176" s="338"/>
      <c r="Z176" s="388">
        <v>0</v>
      </c>
      <c r="AA176" s="338"/>
      <c r="AB176" s="354">
        <v>0</v>
      </c>
      <c r="AC176" s="351"/>
      <c r="AD176" s="354">
        <v>0</v>
      </c>
      <c r="AE176" s="354"/>
      <c r="AF176" s="354">
        <v>0</v>
      </c>
      <c r="AG176" s="354"/>
      <c r="AH176" s="354">
        <v>0</v>
      </c>
      <c r="AI176" s="354"/>
      <c r="AJ176" s="391">
        <v>0</v>
      </c>
      <c r="AK176" s="354"/>
      <c r="AL176" s="350">
        <f t="shared" si="66"/>
        <v>0</v>
      </c>
      <c r="AM176" s="354"/>
      <c r="AN176" s="354">
        <v>0</v>
      </c>
      <c r="AO176" s="354"/>
      <c r="AP176" s="391">
        <v>0</v>
      </c>
      <c r="AQ176" s="344">
        <f t="shared" si="67"/>
        <v>0</v>
      </c>
      <c r="AR176" s="308"/>
      <c r="AS176" s="345"/>
    </row>
    <row r="177" spans="1:45" ht="15.6" hidden="1" customHeight="1">
      <c r="A177" s="271" t="s">
        <v>311</v>
      </c>
      <c r="B177" s="271" t="str">
        <f t="shared" si="60"/>
        <v>Hide</v>
      </c>
      <c r="I177" s="413" t="str">
        <f t="shared" si="59"/>
        <v>53910</v>
      </c>
      <c r="K177" s="337" t="str">
        <f>"546016"</f>
        <v>546016</v>
      </c>
      <c r="L177" s="275" t="str">
        <f t="shared" si="61"/>
        <v>001</v>
      </c>
      <c r="M177" s="275" t="str">
        <f t="shared" si="62"/>
        <v>10/1/2016..9/30/2017</v>
      </c>
      <c r="N177" s="274" t="str">
        <f t="shared" si="63"/>
        <v>HARMONY CDD</v>
      </c>
      <c r="O177" s="387" t="str">
        <f t="shared" si="64"/>
        <v>546016 53910</v>
      </c>
      <c r="P177" s="283" t="str">
        <f t="shared" si="65"/>
        <v>546016</v>
      </c>
      <c r="R177" s="389" t="s">
        <v>375</v>
      </c>
      <c r="S177" s="308"/>
      <c r="T177" s="388">
        <v>0</v>
      </c>
      <c r="U177" s="401"/>
      <c r="V177" s="388">
        <v>0</v>
      </c>
      <c r="W177" s="338"/>
      <c r="X177" s="388">
        <v>0</v>
      </c>
      <c r="Y177" s="338"/>
      <c r="Z177" s="388">
        <v>0</v>
      </c>
      <c r="AA177" s="338"/>
      <c r="AB177" s="354">
        <v>0</v>
      </c>
      <c r="AC177" s="351"/>
      <c r="AD177" s="354">
        <v>0</v>
      </c>
      <c r="AE177" s="354"/>
      <c r="AF177" s="354">
        <v>0</v>
      </c>
      <c r="AG177" s="354"/>
      <c r="AH177" s="354">
        <v>0</v>
      </c>
      <c r="AI177" s="354"/>
      <c r="AJ177" s="391">
        <v>0</v>
      </c>
      <c r="AK177" s="354"/>
      <c r="AL177" s="350">
        <f t="shared" si="66"/>
        <v>0</v>
      </c>
      <c r="AM177" s="354"/>
      <c r="AN177" s="354">
        <v>0</v>
      </c>
      <c r="AO177" s="354"/>
      <c r="AP177" s="391">
        <v>0</v>
      </c>
      <c r="AQ177" s="344">
        <f t="shared" si="67"/>
        <v>0</v>
      </c>
      <c r="AR177" s="308"/>
      <c r="AS177" s="345"/>
    </row>
    <row r="178" spans="1:45" ht="15.6" hidden="1" customHeight="1">
      <c r="A178" s="271" t="s">
        <v>311</v>
      </c>
      <c r="B178" s="271" t="str">
        <f t="shared" si="60"/>
        <v>Hide</v>
      </c>
      <c r="I178" s="413" t="str">
        <f t="shared" si="59"/>
        <v>53910</v>
      </c>
      <c r="K178" s="337" t="str">
        <f>"546022"</f>
        <v>546022</v>
      </c>
      <c r="L178" s="275" t="str">
        <f t="shared" si="61"/>
        <v>001</v>
      </c>
      <c r="M178" s="275" t="str">
        <f t="shared" si="62"/>
        <v>10/1/2016..9/30/2017</v>
      </c>
      <c r="N178" s="274" t="str">
        <f t="shared" si="63"/>
        <v>HARMONY CDD</v>
      </c>
      <c r="O178" s="387" t="str">
        <f t="shared" si="64"/>
        <v>546022 53910</v>
      </c>
      <c r="P178" s="283" t="str">
        <f t="shared" si="65"/>
        <v>546022</v>
      </c>
      <c r="R178" s="389" t="s">
        <v>388</v>
      </c>
      <c r="S178" s="308"/>
      <c r="T178" s="388">
        <v>0</v>
      </c>
      <c r="U178" s="401"/>
      <c r="V178" s="388">
        <v>0</v>
      </c>
      <c r="W178" s="338"/>
      <c r="X178" s="388">
        <v>0</v>
      </c>
      <c r="Y178" s="338"/>
      <c r="Z178" s="388">
        <v>0</v>
      </c>
      <c r="AA178" s="338"/>
      <c r="AB178" s="354">
        <v>0</v>
      </c>
      <c r="AC178" s="351"/>
      <c r="AD178" s="354">
        <v>0</v>
      </c>
      <c r="AE178" s="354"/>
      <c r="AF178" s="354">
        <v>0</v>
      </c>
      <c r="AG178" s="354"/>
      <c r="AH178" s="354">
        <v>0</v>
      </c>
      <c r="AI178" s="354"/>
      <c r="AJ178" s="391">
        <v>0</v>
      </c>
      <c r="AK178" s="354"/>
      <c r="AL178" s="350">
        <f t="shared" si="66"/>
        <v>0</v>
      </c>
      <c r="AM178" s="354"/>
      <c r="AN178" s="354">
        <v>0</v>
      </c>
      <c r="AO178" s="354"/>
      <c r="AP178" s="391">
        <v>0</v>
      </c>
      <c r="AQ178" s="344">
        <f t="shared" si="67"/>
        <v>0</v>
      </c>
      <c r="AR178" s="308"/>
      <c r="AS178" s="345"/>
    </row>
    <row r="179" spans="1:45" ht="15.6" hidden="1" customHeight="1">
      <c r="A179" s="271" t="s">
        <v>311</v>
      </c>
      <c r="B179" s="271" t="str">
        <f t="shared" si="60"/>
        <v>Hide</v>
      </c>
      <c r="I179" s="413" t="str">
        <f t="shared" si="59"/>
        <v>53910</v>
      </c>
      <c r="K179" s="337" t="str">
        <f>"546041"</f>
        <v>546041</v>
      </c>
      <c r="L179" s="275" t="str">
        <f t="shared" si="61"/>
        <v>001</v>
      </c>
      <c r="M179" s="275" t="str">
        <f t="shared" si="62"/>
        <v>10/1/2016..9/30/2017</v>
      </c>
      <c r="N179" s="274" t="str">
        <f t="shared" si="63"/>
        <v>HARMONY CDD</v>
      </c>
      <c r="O179" s="387" t="str">
        <f t="shared" si="64"/>
        <v>546041 53910</v>
      </c>
      <c r="P179" s="283" t="str">
        <f t="shared" si="65"/>
        <v>546041</v>
      </c>
      <c r="R179" s="389" t="s">
        <v>392</v>
      </c>
      <c r="S179" s="308"/>
      <c r="T179" s="388">
        <v>0</v>
      </c>
      <c r="U179" s="401"/>
      <c r="V179" s="388">
        <v>0</v>
      </c>
      <c r="W179" s="338"/>
      <c r="X179" s="388">
        <v>0</v>
      </c>
      <c r="Y179" s="338"/>
      <c r="Z179" s="388">
        <v>0</v>
      </c>
      <c r="AA179" s="338"/>
      <c r="AB179" s="354">
        <v>0</v>
      </c>
      <c r="AC179" s="351"/>
      <c r="AD179" s="354">
        <v>0</v>
      </c>
      <c r="AE179" s="354"/>
      <c r="AF179" s="354">
        <v>0</v>
      </c>
      <c r="AG179" s="354"/>
      <c r="AH179" s="354">
        <v>0</v>
      </c>
      <c r="AI179" s="354"/>
      <c r="AJ179" s="391">
        <v>0</v>
      </c>
      <c r="AK179" s="354"/>
      <c r="AL179" s="350">
        <f t="shared" si="66"/>
        <v>0</v>
      </c>
      <c r="AM179" s="354"/>
      <c r="AN179" s="354">
        <v>0</v>
      </c>
      <c r="AO179" s="354"/>
      <c r="AP179" s="391">
        <v>0</v>
      </c>
      <c r="AQ179" s="344">
        <f t="shared" si="67"/>
        <v>0</v>
      </c>
      <c r="AR179" s="308"/>
      <c r="AS179" s="345"/>
    </row>
    <row r="180" spans="1:45" ht="15.6" hidden="1" customHeight="1">
      <c r="A180" s="271" t="s">
        <v>311</v>
      </c>
      <c r="B180" s="271" t="str">
        <f t="shared" si="60"/>
        <v>Hide</v>
      </c>
      <c r="I180" s="413" t="str">
        <f t="shared" si="59"/>
        <v>53910</v>
      </c>
      <c r="K180" s="337" t="str">
        <f>"546043"</f>
        <v>546043</v>
      </c>
      <c r="L180" s="275" t="str">
        <f t="shared" si="61"/>
        <v>001</v>
      </c>
      <c r="M180" s="275" t="str">
        <f t="shared" si="62"/>
        <v>10/1/2016..9/30/2017</v>
      </c>
      <c r="N180" s="274" t="str">
        <f t="shared" si="63"/>
        <v>HARMONY CDD</v>
      </c>
      <c r="O180" s="387" t="str">
        <f t="shared" si="64"/>
        <v>546043 53910</v>
      </c>
      <c r="P180" s="283" t="str">
        <f t="shared" si="65"/>
        <v>546043</v>
      </c>
      <c r="R180" s="389" t="s">
        <v>414</v>
      </c>
      <c r="S180" s="308"/>
      <c r="T180" s="388">
        <v>0</v>
      </c>
      <c r="U180" s="401"/>
      <c r="V180" s="388">
        <v>0</v>
      </c>
      <c r="W180" s="338"/>
      <c r="X180" s="388">
        <v>0</v>
      </c>
      <c r="Y180" s="338"/>
      <c r="Z180" s="388">
        <v>0</v>
      </c>
      <c r="AA180" s="338"/>
      <c r="AB180" s="354">
        <v>0</v>
      </c>
      <c r="AC180" s="351"/>
      <c r="AD180" s="354">
        <v>0</v>
      </c>
      <c r="AE180" s="354"/>
      <c r="AF180" s="354">
        <v>0</v>
      </c>
      <c r="AG180" s="354"/>
      <c r="AH180" s="354">
        <v>0</v>
      </c>
      <c r="AI180" s="354"/>
      <c r="AJ180" s="391">
        <v>0</v>
      </c>
      <c r="AK180" s="354"/>
      <c r="AL180" s="350">
        <f t="shared" si="66"/>
        <v>0</v>
      </c>
      <c r="AM180" s="354"/>
      <c r="AN180" s="354">
        <v>0</v>
      </c>
      <c r="AO180" s="354"/>
      <c r="AP180" s="391">
        <v>0</v>
      </c>
      <c r="AQ180" s="344">
        <f t="shared" si="67"/>
        <v>0</v>
      </c>
      <c r="AR180" s="308"/>
      <c r="AS180" s="345"/>
    </row>
    <row r="181" spans="1:45" ht="15.6" customHeight="1">
      <c r="I181" s="413"/>
      <c r="K181" s="337"/>
      <c r="L181" s="275"/>
      <c r="M181" s="275"/>
      <c r="N181" s="274"/>
      <c r="O181" s="387"/>
      <c r="P181" s="283"/>
      <c r="R181" s="389" t="s">
        <v>415</v>
      </c>
      <c r="S181" s="308"/>
      <c r="T181" s="388"/>
      <c r="U181" s="401"/>
      <c r="V181" s="388"/>
      <c r="W181" s="338"/>
      <c r="X181" s="388"/>
      <c r="Y181" s="338"/>
      <c r="Z181" s="388"/>
      <c r="AA181" s="338"/>
      <c r="AB181" s="354">
        <v>0</v>
      </c>
      <c r="AC181" s="351"/>
      <c r="AD181" s="354"/>
      <c r="AE181" s="354"/>
      <c r="AF181" s="354">
        <v>0</v>
      </c>
      <c r="AG181" s="354"/>
      <c r="AH181" s="354">
        <v>1587</v>
      </c>
      <c r="AI181" s="354"/>
      <c r="AJ181" s="391">
        <v>0</v>
      </c>
      <c r="AK181" s="354"/>
      <c r="AL181" s="350">
        <f t="shared" si="66"/>
        <v>1587</v>
      </c>
      <c r="AM181" s="354"/>
      <c r="AN181" s="354"/>
      <c r="AO181" s="354"/>
      <c r="AP181" s="1456">
        <v>10000</v>
      </c>
      <c r="AQ181" s="344"/>
      <c r="AR181" s="308"/>
      <c r="AS181" s="1455" t="s">
        <v>7929</v>
      </c>
    </row>
    <row r="182" spans="1:45" ht="15.6" customHeight="1">
      <c r="A182" s="271" t="s">
        <v>311</v>
      </c>
      <c r="B182" s="271" t="str">
        <f t="shared" ref="B182:B204" si="68">IF(AQ182=0,"Hide","Show")</f>
        <v>Show</v>
      </c>
      <c r="I182" s="413" t="str">
        <f>I180</f>
        <v>53910</v>
      </c>
      <c r="K182" s="337" t="str">
        <f>"546074"</f>
        <v>546074</v>
      </c>
      <c r="L182" s="275" t="str">
        <f t="shared" ref="L182:L204" si="69">$F$22</f>
        <v>001</v>
      </c>
      <c r="M182" s="275" t="str">
        <f t="shared" ref="M182:M204" si="70">$J$7</f>
        <v>10/1/2016..9/30/2017</v>
      </c>
      <c r="N182" s="274" t="str">
        <f t="shared" ref="N182:N204" si="71">$D$6</f>
        <v>HARMONY CDD</v>
      </c>
      <c r="O182" s="387" t="str">
        <f t="shared" ref="O182:O204" si="72">IF(I182="","500000 51800",K182&amp;" "&amp;I182)</f>
        <v>546074 53910</v>
      </c>
      <c r="P182" s="283" t="str">
        <f t="shared" ref="P182:P204" si="73">K182</f>
        <v>546074</v>
      </c>
      <c r="R182" s="389" t="s">
        <v>376</v>
      </c>
      <c r="S182" s="308"/>
      <c r="T182" s="388">
        <v>6791</v>
      </c>
      <c r="U182" s="401"/>
      <c r="V182" s="388">
        <v>0</v>
      </c>
      <c r="W182" s="338"/>
      <c r="X182" s="388">
        <v>0</v>
      </c>
      <c r="Y182" s="338"/>
      <c r="Z182" s="388">
        <v>0</v>
      </c>
      <c r="AA182" s="338"/>
      <c r="AB182" s="354">
        <v>25209</v>
      </c>
      <c r="AC182" s="351"/>
      <c r="AD182" s="354">
        <v>0</v>
      </c>
      <c r="AE182" s="354"/>
      <c r="AF182" s="354">
        <v>30000</v>
      </c>
      <c r="AG182" s="354"/>
      <c r="AH182" s="354">
        <v>13450</v>
      </c>
      <c r="AI182" s="354"/>
      <c r="AJ182" s="391">
        <f>+AF182-AH182</f>
        <v>16550</v>
      </c>
      <c r="AK182" s="354"/>
      <c r="AL182" s="350">
        <f t="shared" si="66"/>
        <v>30000</v>
      </c>
      <c r="AM182" s="354"/>
      <c r="AN182" s="354">
        <v>0</v>
      </c>
      <c r="AO182" s="354"/>
      <c r="AP182" s="1456">
        <v>20000</v>
      </c>
      <c r="AQ182" s="344">
        <f t="shared" ref="AQ182:AQ204" si="74">ABS(SUMIF(V182:AP182,"&gt;0")-SUMIF(V182:AP182,"&lt;0"))</f>
        <v>135209</v>
      </c>
      <c r="AR182" s="308"/>
      <c r="AS182" s="1455" t="s">
        <v>7929</v>
      </c>
    </row>
    <row r="183" spans="1:45" ht="15.6" customHeight="1">
      <c r="A183" s="271" t="s">
        <v>311</v>
      </c>
      <c r="B183" s="271" t="str">
        <f t="shared" si="68"/>
        <v>Show</v>
      </c>
      <c r="I183" s="413" t="str">
        <f t="shared" ref="I183:I204" si="75">I182</f>
        <v>53910</v>
      </c>
      <c r="K183" s="337" t="str">
        <f>"546081"</f>
        <v>546081</v>
      </c>
      <c r="L183" s="275" t="str">
        <f t="shared" si="69"/>
        <v>001</v>
      </c>
      <c r="M183" s="275" t="str">
        <f t="shared" si="70"/>
        <v>10/1/2016..9/30/2017</v>
      </c>
      <c r="N183" s="274" t="str">
        <f t="shared" si="71"/>
        <v>HARMONY CDD</v>
      </c>
      <c r="O183" s="387" t="str">
        <f t="shared" si="72"/>
        <v>546081 53910</v>
      </c>
      <c r="P183" s="283" t="str">
        <f t="shared" si="73"/>
        <v>546081</v>
      </c>
      <c r="R183" s="389" t="s">
        <v>416</v>
      </c>
      <c r="S183" s="308"/>
      <c r="T183" s="388">
        <v>0</v>
      </c>
      <c r="U183" s="401"/>
      <c r="V183" s="388">
        <v>0</v>
      </c>
      <c r="W183" s="338"/>
      <c r="X183" s="388">
        <v>0</v>
      </c>
      <c r="Y183" s="338"/>
      <c r="Z183" s="388">
        <v>0</v>
      </c>
      <c r="AA183" s="338"/>
      <c r="AB183" s="354">
        <v>61077</v>
      </c>
      <c r="AC183" s="351"/>
      <c r="AD183" s="354">
        <v>0</v>
      </c>
      <c r="AE183" s="354"/>
      <c r="AF183" s="354">
        <v>65000</v>
      </c>
      <c r="AG183" s="354"/>
      <c r="AH183" s="354">
        <v>168</v>
      </c>
      <c r="AI183" s="354"/>
      <c r="AJ183" s="1462">
        <v>0</v>
      </c>
      <c r="AK183" s="354"/>
      <c r="AL183" s="350">
        <f t="shared" si="66"/>
        <v>168</v>
      </c>
      <c r="AM183" s="354"/>
      <c r="AN183" s="354">
        <v>0</v>
      </c>
      <c r="AO183" s="354"/>
      <c r="AP183" s="391">
        <v>65000</v>
      </c>
      <c r="AQ183" s="344">
        <f t="shared" si="74"/>
        <v>191413</v>
      </c>
      <c r="AR183" s="308"/>
      <c r="AS183" s="1461" t="s">
        <v>7928</v>
      </c>
    </row>
    <row r="184" spans="1:45" ht="15.6" customHeight="1">
      <c r="A184" s="271" t="s">
        <v>311</v>
      </c>
      <c r="B184" s="271" t="str">
        <f t="shared" si="68"/>
        <v>Show</v>
      </c>
      <c r="I184" s="413" t="str">
        <f t="shared" si="75"/>
        <v>53910</v>
      </c>
      <c r="K184" s="337" t="str">
        <f>"546084"</f>
        <v>546084</v>
      </c>
      <c r="L184" s="275" t="str">
        <f t="shared" si="69"/>
        <v>001</v>
      </c>
      <c r="M184" s="275" t="str">
        <f t="shared" si="70"/>
        <v>10/1/2016..9/30/2017</v>
      </c>
      <c r="N184" s="274" t="str">
        <f t="shared" si="71"/>
        <v>HARMONY CDD</v>
      </c>
      <c r="O184" s="387" t="str">
        <f t="shared" si="72"/>
        <v>546084 53910</v>
      </c>
      <c r="P184" s="283" t="str">
        <f t="shared" si="73"/>
        <v>546084</v>
      </c>
      <c r="R184" s="389" t="s">
        <v>377</v>
      </c>
      <c r="S184" s="308"/>
      <c r="T184" s="388">
        <v>2685</v>
      </c>
      <c r="U184" s="401"/>
      <c r="V184" s="388">
        <v>0</v>
      </c>
      <c r="W184" s="338"/>
      <c r="X184" s="388">
        <v>0</v>
      </c>
      <c r="Y184" s="338"/>
      <c r="Z184" s="388">
        <v>0</v>
      </c>
      <c r="AA184" s="338"/>
      <c r="AB184" s="354">
        <v>3924</v>
      </c>
      <c r="AC184" s="351"/>
      <c r="AD184" s="354">
        <v>0</v>
      </c>
      <c r="AE184" s="354"/>
      <c r="AF184" s="354">
        <v>5000</v>
      </c>
      <c r="AG184" s="354"/>
      <c r="AH184" s="354">
        <v>2685</v>
      </c>
      <c r="AI184" s="354"/>
      <c r="AJ184" s="391">
        <f>+AF184-AH184</f>
        <v>2315</v>
      </c>
      <c r="AK184" s="354"/>
      <c r="AL184" s="350">
        <f t="shared" si="66"/>
        <v>5000</v>
      </c>
      <c r="AM184" s="354"/>
      <c r="AN184" s="354">
        <v>0</v>
      </c>
      <c r="AO184" s="354"/>
      <c r="AP184" s="391">
        <v>5000</v>
      </c>
      <c r="AQ184" s="344">
        <f t="shared" si="74"/>
        <v>23924</v>
      </c>
      <c r="AR184" s="308"/>
      <c r="AS184" s="345"/>
    </row>
    <row r="185" spans="1:45" ht="15.6" customHeight="1">
      <c r="A185" s="271" t="s">
        <v>311</v>
      </c>
      <c r="B185" s="271" t="str">
        <f t="shared" si="68"/>
        <v>Show</v>
      </c>
      <c r="I185" s="413" t="str">
        <f t="shared" si="75"/>
        <v>53910</v>
      </c>
      <c r="K185" s="337" t="str">
        <f>"546104"</f>
        <v>546104</v>
      </c>
      <c r="L185" s="275" t="str">
        <f t="shared" si="69"/>
        <v>001</v>
      </c>
      <c r="M185" s="275" t="str">
        <f t="shared" si="70"/>
        <v>10/1/2016..9/30/2017</v>
      </c>
      <c r="N185" s="274" t="str">
        <f t="shared" si="71"/>
        <v>HARMONY CDD</v>
      </c>
      <c r="O185" s="387" t="str">
        <f t="shared" si="72"/>
        <v>546104 53910</v>
      </c>
      <c r="P185" s="283" t="str">
        <f t="shared" si="73"/>
        <v>546104</v>
      </c>
      <c r="R185" s="389" t="s">
        <v>417</v>
      </c>
      <c r="S185" s="308"/>
      <c r="T185" s="388">
        <v>5549</v>
      </c>
      <c r="U185" s="401"/>
      <c r="V185" s="388">
        <v>0</v>
      </c>
      <c r="W185" s="338"/>
      <c r="X185" s="388">
        <v>0</v>
      </c>
      <c r="Y185" s="338"/>
      <c r="Z185" s="388">
        <v>0</v>
      </c>
      <c r="AA185" s="338"/>
      <c r="AB185" s="354">
        <v>0</v>
      </c>
      <c r="AC185" s="351"/>
      <c r="AD185" s="354">
        <v>0</v>
      </c>
      <c r="AE185" s="354"/>
      <c r="AF185" s="354">
        <v>0</v>
      </c>
      <c r="AG185" s="354"/>
      <c r="AH185" s="354">
        <v>5796</v>
      </c>
      <c r="AI185" s="354"/>
      <c r="AJ185" s="391">
        <f>2204</f>
        <v>2204</v>
      </c>
      <c r="AK185" s="354"/>
      <c r="AL185" s="350">
        <f t="shared" si="66"/>
        <v>8000</v>
      </c>
      <c r="AM185" s="354"/>
      <c r="AN185" s="354">
        <v>0</v>
      </c>
      <c r="AO185" s="354"/>
      <c r="AP185" s="391">
        <v>5000</v>
      </c>
      <c r="AQ185" s="344">
        <f t="shared" si="74"/>
        <v>21000</v>
      </c>
      <c r="AR185" s="308"/>
      <c r="AS185" s="345"/>
    </row>
    <row r="186" spans="1:45" ht="15.6" hidden="1" customHeight="1">
      <c r="A186" s="271" t="s">
        <v>311</v>
      </c>
      <c r="B186" s="271" t="str">
        <f t="shared" si="68"/>
        <v>Hide</v>
      </c>
      <c r="I186" s="413" t="str">
        <f t="shared" si="75"/>
        <v>53910</v>
      </c>
      <c r="K186" s="337" t="str">
        <f>"546135"</f>
        <v>546135</v>
      </c>
      <c r="L186" s="275" t="str">
        <f t="shared" si="69"/>
        <v>001</v>
      </c>
      <c r="M186" s="275" t="str">
        <f t="shared" si="70"/>
        <v>10/1/2016..9/30/2017</v>
      </c>
      <c r="N186" s="274" t="str">
        <f t="shared" si="71"/>
        <v>HARMONY CDD</v>
      </c>
      <c r="O186" s="387" t="str">
        <f t="shared" si="72"/>
        <v>546135 53910</v>
      </c>
      <c r="P186" s="283" t="str">
        <f t="shared" si="73"/>
        <v>546135</v>
      </c>
      <c r="R186" s="389" t="s">
        <v>418</v>
      </c>
      <c r="S186" s="308"/>
      <c r="T186" s="388">
        <v>0</v>
      </c>
      <c r="U186" s="401"/>
      <c r="V186" s="388">
        <v>0</v>
      </c>
      <c r="W186" s="338"/>
      <c r="X186" s="388">
        <v>0</v>
      </c>
      <c r="Y186" s="338"/>
      <c r="Z186" s="388">
        <v>0</v>
      </c>
      <c r="AA186" s="338"/>
      <c r="AB186" s="354">
        <v>0</v>
      </c>
      <c r="AC186" s="351"/>
      <c r="AD186" s="354">
        <v>0</v>
      </c>
      <c r="AE186" s="354"/>
      <c r="AF186" s="354">
        <v>0</v>
      </c>
      <c r="AG186" s="354"/>
      <c r="AH186" s="354">
        <v>0</v>
      </c>
      <c r="AI186" s="354"/>
      <c r="AJ186" s="391">
        <v>0</v>
      </c>
      <c r="AK186" s="354"/>
      <c r="AL186" s="350">
        <f t="shared" si="66"/>
        <v>0</v>
      </c>
      <c r="AM186" s="354"/>
      <c r="AN186" s="354">
        <v>0</v>
      </c>
      <c r="AO186" s="354"/>
      <c r="AP186" s="391">
        <v>0</v>
      </c>
      <c r="AQ186" s="344">
        <f t="shared" si="74"/>
        <v>0</v>
      </c>
      <c r="AR186" s="308"/>
      <c r="AS186" s="345"/>
    </row>
    <row r="187" spans="1:45" ht="15.6" customHeight="1">
      <c r="A187" s="271" t="s">
        <v>311</v>
      </c>
      <c r="B187" s="271" t="str">
        <f t="shared" si="68"/>
        <v>Show</v>
      </c>
      <c r="I187" s="413" t="str">
        <f t="shared" si="75"/>
        <v>53910</v>
      </c>
      <c r="K187" s="337" t="str">
        <f>"546223"</f>
        <v>546223</v>
      </c>
      <c r="L187" s="275" t="str">
        <f t="shared" si="69"/>
        <v>001</v>
      </c>
      <c r="M187" s="275" t="str">
        <f t="shared" si="70"/>
        <v>10/1/2016..9/30/2017</v>
      </c>
      <c r="N187" s="274" t="str">
        <f t="shared" si="71"/>
        <v>HARMONY CDD</v>
      </c>
      <c r="O187" s="387" t="str">
        <f t="shared" si="72"/>
        <v>546223 53910</v>
      </c>
      <c r="P187" s="283" t="str">
        <f t="shared" si="73"/>
        <v>546223</v>
      </c>
      <c r="R187" s="389" t="s">
        <v>419</v>
      </c>
      <c r="S187" s="308"/>
      <c r="T187" s="388">
        <v>796</v>
      </c>
      <c r="U187" s="401"/>
      <c r="V187" s="388">
        <v>0</v>
      </c>
      <c r="W187" s="338"/>
      <c r="X187" s="388">
        <v>0</v>
      </c>
      <c r="Y187" s="338"/>
      <c r="Z187" s="388">
        <v>0</v>
      </c>
      <c r="AA187" s="338"/>
      <c r="AB187" s="354">
        <v>5169</v>
      </c>
      <c r="AC187" s="351"/>
      <c r="AD187" s="354">
        <v>0</v>
      </c>
      <c r="AE187" s="354"/>
      <c r="AF187" s="354">
        <v>7500</v>
      </c>
      <c r="AG187" s="354"/>
      <c r="AH187" s="354">
        <v>1607</v>
      </c>
      <c r="AI187" s="354"/>
      <c r="AJ187" s="391">
        <f>+AF187-AH187</f>
        <v>5893</v>
      </c>
      <c r="AK187" s="354"/>
      <c r="AL187" s="350">
        <f t="shared" si="66"/>
        <v>7500</v>
      </c>
      <c r="AM187" s="354"/>
      <c r="AN187" s="354">
        <v>0</v>
      </c>
      <c r="AO187" s="354"/>
      <c r="AP187" s="391">
        <v>7500</v>
      </c>
      <c r="AQ187" s="344">
        <f t="shared" si="74"/>
        <v>35169</v>
      </c>
      <c r="AR187" s="308"/>
      <c r="AS187" s="345"/>
    </row>
    <row r="188" spans="1:45" ht="15.6" customHeight="1">
      <c r="A188" s="271" t="s">
        <v>311</v>
      </c>
      <c r="B188" s="271" t="str">
        <f t="shared" si="68"/>
        <v>Show</v>
      </c>
      <c r="I188" s="413" t="str">
        <f t="shared" si="75"/>
        <v>53910</v>
      </c>
      <c r="K188" s="337" t="str">
        <f>"546224"</f>
        <v>546224</v>
      </c>
      <c r="L188" s="275" t="str">
        <f t="shared" si="69"/>
        <v>001</v>
      </c>
      <c r="M188" s="275" t="str">
        <f t="shared" si="70"/>
        <v>10/1/2016..9/30/2017</v>
      </c>
      <c r="N188" s="274" t="str">
        <f t="shared" si="71"/>
        <v>HARMONY CDD</v>
      </c>
      <c r="O188" s="387" t="str">
        <f t="shared" si="72"/>
        <v>546224 53910</v>
      </c>
      <c r="P188" s="283" t="str">
        <f t="shared" si="73"/>
        <v>546224</v>
      </c>
      <c r="R188" s="389" t="s">
        <v>420</v>
      </c>
      <c r="S188" s="308"/>
      <c r="T188" s="388">
        <v>0</v>
      </c>
      <c r="U188" s="401"/>
      <c r="V188" s="388">
        <v>0</v>
      </c>
      <c r="W188" s="338"/>
      <c r="X188" s="388">
        <v>0</v>
      </c>
      <c r="Y188" s="338"/>
      <c r="Z188" s="388">
        <v>0</v>
      </c>
      <c r="AA188" s="338"/>
      <c r="AB188" s="354">
        <v>3701</v>
      </c>
      <c r="AC188" s="351"/>
      <c r="AD188" s="354">
        <v>0</v>
      </c>
      <c r="AE188" s="354"/>
      <c r="AF188" s="354">
        <v>5000</v>
      </c>
      <c r="AG188" s="354"/>
      <c r="AH188" s="354">
        <v>0</v>
      </c>
      <c r="AI188" s="354"/>
      <c r="AJ188" s="391">
        <v>0</v>
      </c>
      <c r="AK188" s="354"/>
      <c r="AL188" s="350">
        <f t="shared" si="66"/>
        <v>0</v>
      </c>
      <c r="AM188" s="354"/>
      <c r="AN188" s="354">
        <v>0</v>
      </c>
      <c r="AO188" s="354"/>
      <c r="AP188" s="391">
        <v>0</v>
      </c>
      <c r="AQ188" s="344">
        <f t="shared" si="74"/>
        <v>8701</v>
      </c>
      <c r="AR188" s="308"/>
      <c r="AS188" s="345"/>
    </row>
    <row r="189" spans="1:45" ht="15.6" customHeight="1">
      <c r="A189" s="271" t="s">
        <v>311</v>
      </c>
      <c r="B189" s="271" t="str">
        <f t="shared" si="68"/>
        <v>Show</v>
      </c>
      <c r="I189" s="413" t="str">
        <f t="shared" si="75"/>
        <v>53910</v>
      </c>
      <c r="K189" s="337" t="str">
        <f>"546225"</f>
        <v>546225</v>
      </c>
      <c r="L189" s="275" t="str">
        <f t="shared" si="69"/>
        <v>001</v>
      </c>
      <c r="M189" s="275" t="str">
        <f t="shared" si="70"/>
        <v>10/1/2016..9/30/2017</v>
      </c>
      <c r="N189" s="274" t="str">
        <f t="shared" si="71"/>
        <v>HARMONY CDD</v>
      </c>
      <c r="O189" s="387" t="str">
        <f t="shared" si="72"/>
        <v>546225 53910</v>
      </c>
      <c r="P189" s="283" t="str">
        <f t="shared" si="73"/>
        <v>546225</v>
      </c>
      <c r="R189" s="389" t="s">
        <v>421</v>
      </c>
      <c r="S189" s="308"/>
      <c r="T189" s="388">
        <v>10264</v>
      </c>
      <c r="U189" s="401"/>
      <c r="V189" s="388">
        <v>0</v>
      </c>
      <c r="W189" s="338"/>
      <c r="X189" s="388">
        <v>0</v>
      </c>
      <c r="Y189" s="338"/>
      <c r="Z189" s="388">
        <v>0</v>
      </c>
      <c r="AA189" s="338"/>
      <c r="AB189" s="354">
        <v>26218</v>
      </c>
      <c r="AC189" s="351"/>
      <c r="AD189" s="354">
        <v>0</v>
      </c>
      <c r="AE189" s="354"/>
      <c r="AF189" s="354">
        <v>37000</v>
      </c>
      <c r="AG189" s="354"/>
      <c r="AH189" s="354">
        <v>15098</v>
      </c>
      <c r="AI189" s="354"/>
      <c r="AJ189" s="391">
        <f>+AF189-AH189</f>
        <v>21902</v>
      </c>
      <c r="AK189" s="354"/>
      <c r="AL189" s="350">
        <f t="shared" si="66"/>
        <v>37000</v>
      </c>
      <c r="AM189" s="354"/>
      <c r="AN189" s="354">
        <v>0</v>
      </c>
      <c r="AO189" s="354"/>
      <c r="AP189" s="391">
        <v>37000</v>
      </c>
      <c r="AQ189" s="344">
        <f t="shared" si="74"/>
        <v>174218</v>
      </c>
      <c r="AR189" s="308"/>
      <c r="AS189" s="345"/>
    </row>
    <row r="190" spans="1:45" ht="15.6" customHeight="1">
      <c r="A190" s="271" t="s">
        <v>311</v>
      </c>
      <c r="B190" s="271" t="str">
        <f t="shared" si="68"/>
        <v>Show</v>
      </c>
      <c r="I190" s="413" t="str">
        <f t="shared" si="75"/>
        <v>53910</v>
      </c>
      <c r="K190" s="337" t="str">
        <f>"546312"</f>
        <v>546312</v>
      </c>
      <c r="L190" s="275" t="str">
        <f t="shared" si="69"/>
        <v>001</v>
      </c>
      <c r="M190" s="275" t="str">
        <f t="shared" si="70"/>
        <v>10/1/2016..9/30/2017</v>
      </c>
      <c r="N190" s="274" t="str">
        <f t="shared" si="71"/>
        <v>HARMONY CDD</v>
      </c>
      <c r="O190" s="387" t="str">
        <f t="shared" si="72"/>
        <v>546312 53910</v>
      </c>
      <c r="P190" s="283" t="str">
        <f t="shared" si="73"/>
        <v>546312</v>
      </c>
      <c r="R190" s="389" t="s">
        <v>422</v>
      </c>
      <c r="S190" s="308"/>
      <c r="T190" s="388">
        <v>0</v>
      </c>
      <c r="U190" s="401"/>
      <c r="V190" s="388">
        <v>0</v>
      </c>
      <c r="W190" s="338"/>
      <c r="X190" s="388">
        <v>0</v>
      </c>
      <c r="Y190" s="338"/>
      <c r="Z190" s="388">
        <v>0</v>
      </c>
      <c r="AA190" s="338"/>
      <c r="AB190" s="354">
        <v>1250</v>
      </c>
      <c r="AC190" s="351"/>
      <c r="AD190" s="354">
        <v>0</v>
      </c>
      <c r="AE190" s="354"/>
      <c r="AF190" s="354">
        <v>0</v>
      </c>
      <c r="AG190" s="354"/>
      <c r="AH190" s="354">
        <v>0</v>
      </c>
      <c r="AI190" s="354"/>
      <c r="AJ190" s="354">
        <v>0</v>
      </c>
      <c r="AK190" s="354"/>
      <c r="AL190" s="350">
        <f t="shared" si="66"/>
        <v>0</v>
      </c>
      <c r="AM190" s="354"/>
      <c r="AN190" s="354">
        <v>0</v>
      </c>
      <c r="AO190" s="354"/>
      <c r="AP190" s="391">
        <v>0</v>
      </c>
      <c r="AQ190" s="344">
        <f t="shared" si="74"/>
        <v>1250</v>
      </c>
      <c r="AR190" s="308"/>
      <c r="AS190" s="345"/>
    </row>
    <row r="191" spans="1:45" ht="15.6" hidden="1" customHeight="1">
      <c r="A191" s="271" t="s">
        <v>311</v>
      </c>
      <c r="B191" s="271" t="str">
        <f t="shared" si="68"/>
        <v>Hide</v>
      </c>
      <c r="I191" s="413" t="str">
        <f t="shared" si="75"/>
        <v>53910</v>
      </c>
      <c r="K191" s="337" t="str">
        <f>"546325"</f>
        <v>546325</v>
      </c>
      <c r="L191" s="275" t="str">
        <f t="shared" si="69"/>
        <v>001</v>
      </c>
      <c r="M191" s="275" t="str">
        <f t="shared" si="70"/>
        <v>10/1/2016..9/30/2017</v>
      </c>
      <c r="N191" s="274" t="str">
        <f t="shared" si="71"/>
        <v>HARMONY CDD</v>
      </c>
      <c r="O191" s="387" t="str">
        <f t="shared" si="72"/>
        <v>546325 53910</v>
      </c>
      <c r="P191" s="283" t="str">
        <f t="shared" si="73"/>
        <v>546325</v>
      </c>
      <c r="R191" s="389" t="s">
        <v>423</v>
      </c>
      <c r="S191" s="308"/>
      <c r="T191" s="388">
        <v>0</v>
      </c>
      <c r="U191" s="401"/>
      <c r="V191" s="388">
        <v>0</v>
      </c>
      <c r="W191" s="338"/>
      <c r="X191" s="388">
        <v>0</v>
      </c>
      <c r="Y191" s="338"/>
      <c r="Z191" s="388">
        <v>0</v>
      </c>
      <c r="AA191" s="338"/>
      <c r="AB191" s="354">
        <v>0</v>
      </c>
      <c r="AC191" s="351"/>
      <c r="AD191" s="354">
        <v>0</v>
      </c>
      <c r="AE191" s="354"/>
      <c r="AF191" s="354">
        <v>0</v>
      </c>
      <c r="AG191" s="354"/>
      <c r="AH191" s="354">
        <v>0</v>
      </c>
      <c r="AI191" s="354"/>
      <c r="AJ191" s="391">
        <v>0</v>
      </c>
      <c r="AK191" s="354"/>
      <c r="AL191" s="350">
        <f t="shared" si="66"/>
        <v>0</v>
      </c>
      <c r="AM191" s="354"/>
      <c r="AN191" s="354">
        <v>0</v>
      </c>
      <c r="AO191" s="354"/>
      <c r="AP191" s="391">
        <v>0</v>
      </c>
      <c r="AQ191" s="344">
        <f t="shared" si="74"/>
        <v>0</v>
      </c>
      <c r="AR191" s="308"/>
      <c r="AS191" s="345"/>
    </row>
    <row r="192" spans="1:45" ht="15.6" customHeight="1">
      <c r="A192" s="271" t="s">
        <v>311</v>
      </c>
      <c r="B192" s="271" t="str">
        <f t="shared" si="68"/>
        <v>Show</v>
      </c>
      <c r="I192" s="413" t="str">
        <f t="shared" si="75"/>
        <v>53910</v>
      </c>
      <c r="K192" s="337" t="str">
        <f>"549001"</f>
        <v>549001</v>
      </c>
      <c r="L192" s="275" t="str">
        <f t="shared" si="69"/>
        <v>001</v>
      </c>
      <c r="M192" s="275" t="str">
        <f t="shared" si="70"/>
        <v>10/1/2016..9/30/2017</v>
      </c>
      <c r="N192" s="274" t="str">
        <f t="shared" si="71"/>
        <v>HARMONY CDD</v>
      </c>
      <c r="O192" s="387" t="str">
        <f t="shared" si="72"/>
        <v>549001 53910</v>
      </c>
      <c r="P192" s="283" t="str">
        <f t="shared" si="73"/>
        <v>549001</v>
      </c>
      <c r="R192" s="389" t="s">
        <v>356</v>
      </c>
      <c r="S192" s="308"/>
      <c r="T192" s="388">
        <v>780</v>
      </c>
      <c r="U192" s="401"/>
      <c r="V192" s="388">
        <v>0</v>
      </c>
      <c r="W192" s="338"/>
      <c r="X192" s="388">
        <v>0</v>
      </c>
      <c r="Y192" s="338"/>
      <c r="Z192" s="388">
        <v>0</v>
      </c>
      <c r="AA192" s="338"/>
      <c r="AB192" s="354">
        <v>1600</v>
      </c>
      <c r="AC192" s="351"/>
      <c r="AD192" s="354">
        <v>0</v>
      </c>
      <c r="AE192" s="354"/>
      <c r="AF192" s="354">
        <v>2400</v>
      </c>
      <c r="AG192" s="354"/>
      <c r="AH192" s="354">
        <v>1000</v>
      </c>
      <c r="AI192" s="354"/>
      <c r="AJ192" s="391">
        <f>AH192/8*4</f>
        <v>500</v>
      </c>
      <c r="AK192" s="354"/>
      <c r="AL192" s="350">
        <f t="shared" si="66"/>
        <v>1500</v>
      </c>
      <c r="AM192" s="354"/>
      <c r="AN192" s="354">
        <v>0</v>
      </c>
      <c r="AO192" s="354"/>
      <c r="AP192" s="391">
        <v>2400</v>
      </c>
      <c r="AQ192" s="344">
        <f t="shared" si="74"/>
        <v>9400</v>
      </c>
      <c r="AR192" s="308"/>
      <c r="AS192" s="345"/>
    </row>
    <row r="193" spans="1:58" ht="15.6" customHeight="1">
      <c r="A193" s="271" t="s">
        <v>311</v>
      </c>
      <c r="B193" s="271" t="str">
        <f t="shared" si="68"/>
        <v>Show</v>
      </c>
      <c r="I193" s="413" t="str">
        <f t="shared" si="75"/>
        <v>53910</v>
      </c>
      <c r="K193" s="337" t="str">
        <f>"549044"</f>
        <v>549044</v>
      </c>
      <c r="L193" s="275" t="str">
        <f t="shared" si="69"/>
        <v>001</v>
      </c>
      <c r="M193" s="275" t="str">
        <f t="shared" si="70"/>
        <v>10/1/2016..9/30/2017</v>
      </c>
      <c r="N193" s="274" t="str">
        <f t="shared" si="71"/>
        <v>HARMONY CDD</v>
      </c>
      <c r="O193" s="387" t="str">
        <f t="shared" si="72"/>
        <v>549044 53910</v>
      </c>
      <c r="P193" s="283" t="str">
        <f t="shared" si="73"/>
        <v>549044</v>
      </c>
      <c r="R193" s="389" t="s">
        <v>424</v>
      </c>
      <c r="S193" s="308"/>
      <c r="T193" s="388">
        <v>0</v>
      </c>
      <c r="U193" s="401"/>
      <c r="V193" s="388">
        <v>0</v>
      </c>
      <c r="W193" s="338"/>
      <c r="X193" s="388">
        <v>0</v>
      </c>
      <c r="Y193" s="338"/>
      <c r="Z193" s="388">
        <v>0</v>
      </c>
      <c r="AA193" s="338"/>
      <c r="AB193" s="354">
        <v>329</v>
      </c>
      <c r="AC193" s="351"/>
      <c r="AD193" s="354">
        <v>0</v>
      </c>
      <c r="AE193" s="354"/>
      <c r="AF193" s="354">
        <v>0</v>
      </c>
      <c r="AG193" s="354"/>
      <c r="AH193" s="354">
        <v>0</v>
      </c>
      <c r="AI193" s="354"/>
      <c r="AJ193" s="391">
        <v>0</v>
      </c>
      <c r="AK193" s="354"/>
      <c r="AL193" s="350">
        <f t="shared" si="66"/>
        <v>0</v>
      </c>
      <c r="AM193" s="354"/>
      <c r="AN193" s="354">
        <v>0</v>
      </c>
      <c r="AO193" s="354"/>
      <c r="AP193" s="391">
        <v>0</v>
      </c>
      <c r="AQ193" s="344">
        <f t="shared" si="74"/>
        <v>329</v>
      </c>
      <c r="AR193" s="308"/>
      <c r="AS193" s="345"/>
    </row>
    <row r="194" spans="1:58" ht="15.6" hidden="1" customHeight="1">
      <c r="A194" s="271" t="s">
        <v>311</v>
      </c>
      <c r="B194" s="271" t="str">
        <f t="shared" si="68"/>
        <v>Hide</v>
      </c>
      <c r="I194" s="413" t="str">
        <f t="shared" si="75"/>
        <v>53910</v>
      </c>
      <c r="K194" s="337" t="str">
        <f>"549066"</f>
        <v>549066</v>
      </c>
      <c r="L194" s="275" t="str">
        <f t="shared" si="69"/>
        <v>001</v>
      </c>
      <c r="M194" s="275" t="str">
        <f t="shared" si="70"/>
        <v>10/1/2016..9/30/2017</v>
      </c>
      <c r="N194" s="274" t="str">
        <f t="shared" si="71"/>
        <v>HARMONY CDD</v>
      </c>
      <c r="O194" s="387" t="str">
        <f t="shared" si="72"/>
        <v>549066 53910</v>
      </c>
      <c r="P194" s="283" t="str">
        <f t="shared" si="73"/>
        <v>549066</v>
      </c>
      <c r="R194" s="389" t="s">
        <v>425</v>
      </c>
      <c r="S194" s="308"/>
      <c r="T194" s="388">
        <v>0</v>
      </c>
      <c r="U194" s="401"/>
      <c r="V194" s="388">
        <v>0</v>
      </c>
      <c r="W194" s="338"/>
      <c r="X194" s="388">
        <v>0</v>
      </c>
      <c r="Y194" s="338"/>
      <c r="Z194" s="388">
        <v>0</v>
      </c>
      <c r="AA194" s="338"/>
      <c r="AB194" s="354">
        <v>0</v>
      </c>
      <c r="AC194" s="351"/>
      <c r="AD194" s="354">
        <v>0</v>
      </c>
      <c r="AE194" s="354"/>
      <c r="AF194" s="354">
        <v>0</v>
      </c>
      <c r="AG194" s="354"/>
      <c r="AH194" s="354">
        <v>0</v>
      </c>
      <c r="AI194" s="354"/>
      <c r="AJ194" s="391">
        <v>0</v>
      </c>
      <c r="AK194" s="354"/>
      <c r="AL194" s="350">
        <f t="shared" si="66"/>
        <v>0</v>
      </c>
      <c r="AM194" s="354"/>
      <c r="AN194" s="354">
        <v>0</v>
      </c>
      <c r="AO194" s="354"/>
      <c r="AP194" s="391">
        <v>0</v>
      </c>
      <c r="AQ194" s="344">
        <f t="shared" si="74"/>
        <v>0</v>
      </c>
      <c r="AR194" s="308"/>
      <c r="AS194" s="345"/>
    </row>
    <row r="195" spans="1:58" ht="15.6" hidden="1" customHeight="1">
      <c r="A195" s="271" t="s">
        <v>311</v>
      </c>
      <c r="B195" s="271" t="str">
        <f t="shared" si="68"/>
        <v>Hide</v>
      </c>
      <c r="I195" s="413" t="str">
        <f t="shared" si="75"/>
        <v>53910</v>
      </c>
      <c r="K195" s="337" t="str">
        <f>"549093"</f>
        <v>549093</v>
      </c>
      <c r="L195" s="275" t="str">
        <f t="shared" si="69"/>
        <v>001</v>
      </c>
      <c r="M195" s="275" t="str">
        <f t="shared" si="70"/>
        <v>10/1/2016..9/30/2017</v>
      </c>
      <c r="N195" s="274" t="str">
        <f t="shared" si="71"/>
        <v>HARMONY CDD</v>
      </c>
      <c r="O195" s="387" t="str">
        <f t="shared" si="72"/>
        <v>549093 53910</v>
      </c>
      <c r="P195" s="283" t="str">
        <f t="shared" si="73"/>
        <v>549093</v>
      </c>
      <c r="R195" s="389" t="s">
        <v>426</v>
      </c>
      <c r="S195" s="308"/>
      <c r="T195" s="388">
        <v>0</v>
      </c>
      <c r="U195" s="401"/>
      <c r="V195" s="388">
        <v>0</v>
      </c>
      <c r="W195" s="338"/>
      <c r="X195" s="388">
        <v>0</v>
      </c>
      <c r="Y195" s="338"/>
      <c r="Z195" s="388">
        <v>0</v>
      </c>
      <c r="AA195" s="338"/>
      <c r="AB195" s="354">
        <v>0</v>
      </c>
      <c r="AC195" s="351"/>
      <c r="AD195" s="354">
        <v>0</v>
      </c>
      <c r="AE195" s="354"/>
      <c r="AF195" s="354">
        <v>0</v>
      </c>
      <c r="AG195" s="354"/>
      <c r="AH195" s="354">
        <v>0</v>
      </c>
      <c r="AI195" s="354"/>
      <c r="AJ195" s="391">
        <v>0</v>
      </c>
      <c r="AK195" s="354"/>
      <c r="AL195" s="350">
        <f t="shared" si="66"/>
        <v>0</v>
      </c>
      <c r="AM195" s="354"/>
      <c r="AN195" s="354">
        <v>0</v>
      </c>
      <c r="AO195" s="354"/>
      <c r="AP195" s="391">
        <v>0</v>
      </c>
      <c r="AQ195" s="344">
        <f t="shared" si="74"/>
        <v>0</v>
      </c>
      <c r="AR195" s="308"/>
      <c r="AS195" s="345"/>
    </row>
    <row r="196" spans="1:58" ht="15.6" customHeight="1">
      <c r="A196" s="271" t="s">
        <v>311</v>
      </c>
      <c r="B196" s="271" t="str">
        <f t="shared" si="68"/>
        <v>Show</v>
      </c>
      <c r="I196" s="413" t="str">
        <f t="shared" si="75"/>
        <v>53910</v>
      </c>
      <c r="K196" s="337" t="str">
        <f>"549149"</f>
        <v>549149</v>
      </c>
      <c r="L196" s="275" t="str">
        <f t="shared" si="69"/>
        <v>001</v>
      </c>
      <c r="M196" s="275" t="str">
        <f t="shared" si="70"/>
        <v>10/1/2016..9/30/2017</v>
      </c>
      <c r="N196" s="274" t="str">
        <f t="shared" si="71"/>
        <v>HARMONY CDD</v>
      </c>
      <c r="O196" s="387" t="str">
        <f t="shared" si="72"/>
        <v>549149 53910</v>
      </c>
      <c r="P196" s="283" t="str">
        <f t="shared" si="73"/>
        <v>549149</v>
      </c>
      <c r="R196" s="389" t="s">
        <v>427</v>
      </c>
      <c r="S196" s="308"/>
      <c r="T196" s="388">
        <v>349</v>
      </c>
      <c r="U196" s="401"/>
      <c r="V196" s="388">
        <v>0</v>
      </c>
      <c r="W196" s="338"/>
      <c r="X196" s="388">
        <v>0</v>
      </c>
      <c r="Y196" s="338"/>
      <c r="Z196" s="388">
        <v>0</v>
      </c>
      <c r="AA196" s="338"/>
      <c r="AB196" s="354">
        <v>1652</v>
      </c>
      <c r="AC196" s="351"/>
      <c r="AD196" s="354">
        <v>0</v>
      </c>
      <c r="AE196" s="354"/>
      <c r="AF196" s="354">
        <v>2500</v>
      </c>
      <c r="AG196" s="354"/>
      <c r="AH196" s="354">
        <v>349</v>
      </c>
      <c r="AI196" s="354"/>
      <c r="AJ196" s="391">
        <f>+AH196/8*4</f>
        <v>174.5</v>
      </c>
      <c r="AK196" s="354"/>
      <c r="AL196" s="350">
        <f t="shared" si="66"/>
        <v>523.5</v>
      </c>
      <c r="AM196" s="354"/>
      <c r="AN196" s="354">
        <v>0</v>
      </c>
      <c r="AO196" s="354"/>
      <c r="AP196" s="391">
        <v>2500</v>
      </c>
      <c r="AQ196" s="344">
        <f t="shared" si="74"/>
        <v>7699</v>
      </c>
      <c r="AR196" s="308"/>
      <c r="AS196" s="345"/>
    </row>
    <row r="197" spans="1:58" ht="15.6" customHeight="1">
      <c r="A197" s="271" t="s">
        <v>311</v>
      </c>
      <c r="B197" s="271" t="str">
        <f t="shared" si="68"/>
        <v>Show</v>
      </c>
      <c r="I197" s="413" t="str">
        <f t="shared" si="75"/>
        <v>53910</v>
      </c>
      <c r="K197" s="337" t="str">
        <f>"549900"</f>
        <v>549900</v>
      </c>
      <c r="L197" s="275" t="str">
        <f t="shared" si="69"/>
        <v>001</v>
      </c>
      <c r="M197" s="275" t="str">
        <f t="shared" si="70"/>
        <v>10/1/2016..9/30/2017</v>
      </c>
      <c r="N197" s="274" t="str">
        <f t="shared" si="71"/>
        <v>HARMONY CDD</v>
      </c>
      <c r="O197" s="387" t="str">
        <f t="shared" si="72"/>
        <v>549900 53910</v>
      </c>
      <c r="P197" s="283" t="str">
        <f t="shared" si="73"/>
        <v>549900</v>
      </c>
      <c r="R197" s="389" t="s">
        <v>359</v>
      </c>
      <c r="S197" s="308"/>
      <c r="T197" s="388">
        <v>1466</v>
      </c>
      <c r="U197" s="401"/>
      <c r="V197" s="388">
        <v>0</v>
      </c>
      <c r="W197" s="338"/>
      <c r="X197" s="388">
        <v>0</v>
      </c>
      <c r="Y197" s="338"/>
      <c r="Z197" s="388">
        <v>0</v>
      </c>
      <c r="AA197" s="338"/>
      <c r="AB197" s="354">
        <v>6309</v>
      </c>
      <c r="AC197" s="351"/>
      <c r="AD197" s="354">
        <v>0</v>
      </c>
      <c r="AE197" s="354"/>
      <c r="AF197" s="354">
        <v>8000</v>
      </c>
      <c r="AG197" s="354"/>
      <c r="AH197" s="354">
        <v>2816</v>
      </c>
      <c r="AI197" s="354"/>
      <c r="AJ197" s="391">
        <f>+AF197-AH197</f>
        <v>5184</v>
      </c>
      <c r="AK197" s="354"/>
      <c r="AL197" s="350">
        <f t="shared" si="66"/>
        <v>8000</v>
      </c>
      <c r="AM197" s="354"/>
      <c r="AN197" s="354">
        <v>0</v>
      </c>
      <c r="AO197" s="354"/>
      <c r="AP197" s="391">
        <v>8000</v>
      </c>
      <c r="AQ197" s="344">
        <f t="shared" si="74"/>
        <v>38309</v>
      </c>
      <c r="AR197" s="308"/>
      <c r="AS197" s="345"/>
    </row>
    <row r="198" spans="1:58" ht="15.6" customHeight="1">
      <c r="A198" s="271" t="s">
        <v>311</v>
      </c>
      <c r="B198" s="271" t="str">
        <f t="shared" si="68"/>
        <v>Show</v>
      </c>
      <c r="I198" s="413" t="str">
        <f t="shared" si="75"/>
        <v>53910</v>
      </c>
      <c r="K198" s="337" t="str">
        <f>"549911"</f>
        <v>549911</v>
      </c>
      <c r="L198" s="275" t="str">
        <f t="shared" si="69"/>
        <v>001</v>
      </c>
      <c r="M198" s="275" t="str">
        <f t="shared" si="70"/>
        <v>10/1/2016..9/30/2017</v>
      </c>
      <c r="N198" s="274" t="str">
        <f t="shared" si="71"/>
        <v>HARMONY CDD</v>
      </c>
      <c r="O198" s="387" t="str">
        <f t="shared" si="72"/>
        <v>549911 53910</v>
      </c>
      <c r="P198" s="283" t="str">
        <f t="shared" si="73"/>
        <v>549911</v>
      </c>
      <c r="R198" s="389" t="s">
        <v>428</v>
      </c>
      <c r="S198" s="308"/>
      <c r="T198" s="388">
        <v>1095</v>
      </c>
      <c r="U198" s="401"/>
      <c r="V198" s="388">
        <v>0</v>
      </c>
      <c r="W198" s="338"/>
      <c r="X198" s="388">
        <v>0</v>
      </c>
      <c r="Y198" s="338"/>
      <c r="Z198" s="388">
        <v>0</v>
      </c>
      <c r="AA198" s="338"/>
      <c r="AB198" s="354">
        <v>2116</v>
      </c>
      <c r="AC198" s="351"/>
      <c r="AD198" s="354">
        <v>0</v>
      </c>
      <c r="AE198" s="354"/>
      <c r="AF198" s="354">
        <v>2500</v>
      </c>
      <c r="AG198" s="354"/>
      <c r="AH198" s="354">
        <v>4052</v>
      </c>
      <c r="AI198" s="354"/>
      <c r="AJ198" s="391">
        <v>0</v>
      </c>
      <c r="AK198" s="354"/>
      <c r="AL198" s="350">
        <f t="shared" si="66"/>
        <v>4052</v>
      </c>
      <c r="AM198" s="354"/>
      <c r="AN198" s="354">
        <v>0</v>
      </c>
      <c r="AO198" s="354"/>
      <c r="AP198" s="391">
        <v>2500</v>
      </c>
      <c r="AQ198" s="344">
        <f t="shared" si="74"/>
        <v>15220</v>
      </c>
      <c r="AR198" s="308"/>
      <c r="AS198" s="422"/>
    </row>
    <row r="199" spans="1:58" ht="15.6" hidden="1" customHeight="1">
      <c r="A199" s="271" t="s">
        <v>311</v>
      </c>
      <c r="B199" s="271" t="str">
        <f t="shared" si="68"/>
        <v>Hide</v>
      </c>
      <c r="I199" s="413" t="str">
        <f t="shared" si="75"/>
        <v>53910</v>
      </c>
      <c r="K199" s="337" t="str">
        <f>"551002"</f>
        <v>551002</v>
      </c>
      <c r="L199" s="275" t="str">
        <f t="shared" si="69"/>
        <v>001</v>
      </c>
      <c r="M199" s="275" t="str">
        <f t="shared" si="70"/>
        <v>10/1/2016..9/30/2017</v>
      </c>
      <c r="N199" s="274" t="str">
        <f t="shared" si="71"/>
        <v>HARMONY CDD</v>
      </c>
      <c r="O199" s="387" t="str">
        <f t="shared" si="72"/>
        <v>551002 53910</v>
      </c>
      <c r="P199" s="283" t="str">
        <f t="shared" si="73"/>
        <v>551002</v>
      </c>
      <c r="R199" s="389" t="s">
        <v>360</v>
      </c>
      <c r="S199" s="308"/>
      <c r="T199" s="388">
        <v>0</v>
      </c>
      <c r="U199" s="401"/>
      <c r="V199" s="388">
        <v>0</v>
      </c>
      <c r="W199" s="338"/>
      <c r="X199" s="388">
        <v>0</v>
      </c>
      <c r="Y199" s="338"/>
      <c r="Z199" s="388">
        <v>0</v>
      </c>
      <c r="AA199" s="338"/>
      <c r="AB199" s="354">
        <v>0</v>
      </c>
      <c r="AC199" s="351"/>
      <c r="AD199" s="354">
        <v>0</v>
      </c>
      <c r="AE199" s="354"/>
      <c r="AF199" s="354">
        <v>0</v>
      </c>
      <c r="AG199" s="354"/>
      <c r="AH199" s="354">
        <v>0</v>
      </c>
      <c r="AI199" s="354"/>
      <c r="AJ199" s="391">
        <v>0</v>
      </c>
      <c r="AK199" s="354"/>
      <c r="AL199" s="350">
        <f t="shared" si="66"/>
        <v>0</v>
      </c>
      <c r="AM199" s="354"/>
      <c r="AN199" s="354">
        <v>0</v>
      </c>
      <c r="AO199" s="354"/>
      <c r="AP199" s="391">
        <v>0</v>
      </c>
      <c r="AQ199" s="344">
        <f t="shared" si="74"/>
        <v>0</v>
      </c>
      <c r="AR199" s="308"/>
      <c r="AS199" s="345"/>
    </row>
    <row r="200" spans="1:58" ht="15.6" customHeight="1">
      <c r="A200" s="271" t="s">
        <v>311</v>
      </c>
      <c r="B200" s="271" t="str">
        <f t="shared" si="68"/>
        <v>Show</v>
      </c>
      <c r="I200" s="413" t="str">
        <f t="shared" si="75"/>
        <v>53910</v>
      </c>
      <c r="K200" s="337" t="str">
        <f>"552030"</f>
        <v>552030</v>
      </c>
      <c r="L200" s="275" t="str">
        <f t="shared" si="69"/>
        <v>001</v>
      </c>
      <c r="M200" s="275" t="str">
        <f t="shared" si="70"/>
        <v>10/1/2016..9/30/2017</v>
      </c>
      <c r="N200" s="274" t="str">
        <f t="shared" si="71"/>
        <v>HARMONY CDD</v>
      </c>
      <c r="O200" s="387" t="str">
        <f t="shared" si="72"/>
        <v>552030 53910</v>
      </c>
      <c r="P200" s="283" t="str">
        <f t="shared" si="73"/>
        <v>552030</v>
      </c>
      <c r="R200" s="389" t="s">
        <v>429</v>
      </c>
      <c r="S200" s="308"/>
      <c r="T200" s="388">
        <v>852</v>
      </c>
      <c r="U200" s="401"/>
      <c r="V200" s="388">
        <v>0</v>
      </c>
      <c r="W200" s="338"/>
      <c r="X200" s="388">
        <v>0</v>
      </c>
      <c r="Y200" s="338"/>
      <c r="Z200" s="388">
        <v>0</v>
      </c>
      <c r="AA200" s="338"/>
      <c r="AB200" s="354">
        <v>0</v>
      </c>
      <c r="AC200" s="351"/>
      <c r="AD200" s="354">
        <v>0</v>
      </c>
      <c r="AE200" s="354"/>
      <c r="AF200" s="354">
        <v>0</v>
      </c>
      <c r="AG200" s="354"/>
      <c r="AH200" s="354">
        <v>1506</v>
      </c>
      <c r="AI200" s="354"/>
      <c r="AJ200" s="391">
        <f>2300-AH200</f>
        <v>794</v>
      </c>
      <c r="AK200" s="354"/>
      <c r="AL200" s="350">
        <f t="shared" si="66"/>
        <v>2300</v>
      </c>
      <c r="AM200" s="354"/>
      <c r="AN200" s="354">
        <v>0</v>
      </c>
      <c r="AO200" s="354"/>
      <c r="AP200" s="391">
        <v>3500</v>
      </c>
      <c r="AQ200" s="344">
        <f t="shared" si="74"/>
        <v>8100</v>
      </c>
      <c r="AR200" s="308"/>
      <c r="AS200" s="345"/>
    </row>
    <row r="201" spans="1:58" ht="15.6" customHeight="1">
      <c r="A201" s="271" t="s">
        <v>311</v>
      </c>
      <c r="B201" s="271" t="str">
        <f t="shared" si="68"/>
        <v>Show</v>
      </c>
      <c r="I201" s="413" t="str">
        <f t="shared" si="75"/>
        <v>53910</v>
      </c>
      <c r="K201" s="337" t="str">
        <f>"564002"</f>
        <v>564002</v>
      </c>
      <c r="L201" s="275" t="str">
        <f t="shared" si="69"/>
        <v>001</v>
      </c>
      <c r="M201" s="275" t="str">
        <f t="shared" si="70"/>
        <v>10/1/2016..9/30/2017</v>
      </c>
      <c r="N201" s="274" t="str">
        <f t="shared" si="71"/>
        <v>HARMONY CDD</v>
      </c>
      <c r="O201" s="387" t="str">
        <f t="shared" si="72"/>
        <v>564002 53910</v>
      </c>
      <c r="P201" s="283" t="str">
        <f t="shared" si="73"/>
        <v>564002</v>
      </c>
      <c r="R201" s="389" t="s">
        <v>378</v>
      </c>
      <c r="S201" s="308"/>
      <c r="T201" s="388">
        <v>2252</v>
      </c>
      <c r="U201" s="401"/>
      <c r="V201" s="388">
        <v>0</v>
      </c>
      <c r="W201" s="338"/>
      <c r="X201" s="388">
        <v>0</v>
      </c>
      <c r="Y201" s="338"/>
      <c r="Z201" s="388">
        <v>0</v>
      </c>
      <c r="AA201" s="338"/>
      <c r="AB201" s="354">
        <v>0</v>
      </c>
      <c r="AC201" s="351"/>
      <c r="AD201" s="354">
        <v>0</v>
      </c>
      <c r="AE201" s="354"/>
      <c r="AF201" s="354">
        <v>16000</v>
      </c>
      <c r="AG201" s="354"/>
      <c r="AH201" s="354">
        <v>2252</v>
      </c>
      <c r="AI201" s="354"/>
      <c r="AJ201" s="391">
        <f>+AF201-AH201</f>
        <v>13748</v>
      </c>
      <c r="AK201" s="354"/>
      <c r="AL201" s="350">
        <f t="shared" si="66"/>
        <v>16000</v>
      </c>
      <c r="AM201" s="354"/>
      <c r="AN201" s="354">
        <v>0</v>
      </c>
      <c r="AO201" s="354"/>
      <c r="AP201" s="1456">
        <v>0</v>
      </c>
      <c r="AQ201" s="344">
        <f t="shared" si="74"/>
        <v>48000</v>
      </c>
      <c r="AR201" s="308"/>
      <c r="AS201" s="1455" t="s">
        <v>7930</v>
      </c>
    </row>
    <row r="202" spans="1:58" ht="15.6" hidden="1" customHeight="1">
      <c r="A202" s="271" t="s">
        <v>311</v>
      </c>
      <c r="B202" s="271" t="str">
        <f t="shared" si="68"/>
        <v>Hide</v>
      </c>
      <c r="I202" s="413" t="str">
        <f t="shared" si="75"/>
        <v>53910</v>
      </c>
      <c r="K202" s="337" t="str">
        <f>"564023"</f>
        <v>564023</v>
      </c>
      <c r="L202" s="275" t="str">
        <f t="shared" si="69"/>
        <v>001</v>
      </c>
      <c r="M202" s="275" t="str">
        <f t="shared" si="70"/>
        <v>10/1/2016..9/30/2017</v>
      </c>
      <c r="N202" s="274" t="str">
        <f t="shared" si="71"/>
        <v>HARMONY CDD</v>
      </c>
      <c r="O202" s="387" t="str">
        <f t="shared" si="72"/>
        <v>564023 53910</v>
      </c>
      <c r="P202" s="283" t="str">
        <f t="shared" si="73"/>
        <v>564023</v>
      </c>
      <c r="R202" s="389" t="s">
        <v>430</v>
      </c>
      <c r="S202" s="308"/>
      <c r="T202" s="388">
        <v>0</v>
      </c>
      <c r="U202" s="401"/>
      <c r="V202" s="388">
        <v>0</v>
      </c>
      <c r="W202" s="338"/>
      <c r="X202" s="388">
        <v>0</v>
      </c>
      <c r="Y202" s="338"/>
      <c r="Z202" s="388">
        <v>0</v>
      </c>
      <c r="AA202" s="338"/>
      <c r="AB202" s="354">
        <v>0</v>
      </c>
      <c r="AC202" s="351"/>
      <c r="AD202" s="354">
        <v>0</v>
      </c>
      <c r="AE202" s="354"/>
      <c r="AF202" s="354">
        <v>0</v>
      </c>
      <c r="AG202" s="354"/>
      <c r="AH202" s="354">
        <v>0</v>
      </c>
      <c r="AI202" s="354"/>
      <c r="AJ202" s="391">
        <v>0</v>
      </c>
      <c r="AK202" s="354"/>
      <c r="AL202" s="350">
        <f t="shared" si="66"/>
        <v>0</v>
      </c>
      <c r="AM202" s="354"/>
      <c r="AN202" s="354">
        <v>0</v>
      </c>
      <c r="AO202" s="354"/>
      <c r="AP202" s="391">
        <v>0</v>
      </c>
      <c r="AQ202" s="344">
        <f t="shared" si="74"/>
        <v>0</v>
      </c>
      <c r="AR202" s="308"/>
      <c r="AS202" s="345"/>
    </row>
    <row r="203" spans="1:58" ht="15.6" customHeight="1">
      <c r="A203" s="271" t="s">
        <v>311</v>
      </c>
      <c r="B203" s="271" t="str">
        <f t="shared" si="68"/>
        <v>Show</v>
      </c>
      <c r="I203" s="413" t="str">
        <f t="shared" si="75"/>
        <v>53910</v>
      </c>
      <c r="K203" s="337" t="str">
        <f>"564041"</f>
        <v>564041</v>
      </c>
      <c r="L203" s="275" t="str">
        <f t="shared" si="69"/>
        <v>001</v>
      </c>
      <c r="M203" s="275" t="str">
        <f t="shared" si="70"/>
        <v>10/1/2016..9/30/2017</v>
      </c>
      <c r="N203" s="274" t="str">
        <f t="shared" si="71"/>
        <v>HARMONY CDD</v>
      </c>
      <c r="O203" s="387" t="str">
        <f t="shared" si="72"/>
        <v>564041 53910</v>
      </c>
      <c r="P203" s="283" t="str">
        <f t="shared" si="73"/>
        <v>564041</v>
      </c>
      <c r="R203" s="389" t="s">
        <v>431</v>
      </c>
      <c r="S203" s="308"/>
      <c r="T203" s="388">
        <v>24033</v>
      </c>
      <c r="U203" s="401"/>
      <c r="V203" s="388">
        <v>0</v>
      </c>
      <c r="W203" s="338"/>
      <c r="X203" s="388">
        <v>0</v>
      </c>
      <c r="Y203" s="338"/>
      <c r="Z203" s="388">
        <v>0</v>
      </c>
      <c r="AA203" s="338"/>
      <c r="AB203" s="354">
        <v>5147</v>
      </c>
      <c r="AC203" s="351"/>
      <c r="AD203" s="354">
        <v>0</v>
      </c>
      <c r="AE203" s="354"/>
      <c r="AF203" s="354">
        <v>22000</v>
      </c>
      <c r="AG203" s="354"/>
      <c r="AH203" s="354">
        <v>24033</v>
      </c>
      <c r="AI203" s="354"/>
      <c r="AJ203" s="391">
        <v>0</v>
      </c>
      <c r="AK203" s="354"/>
      <c r="AL203" s="350">
        <f t="shared" si="66"/>
        <v>24033</v>
      </c>
      <c r="AM203" s="354"/>
      <c r="AN203" s="354">
        <v>0</v>
      </c>
      <c r="AO203" s="354"/>
      <c r="AP203" s="1460">
        <v>0</v>
      </c>
      <c r="AQ203" s="344">
        <f t="shared" si="74"/>
        <v>75213</v>
      </c>
      <c r="AR203" s="308"/>
      <c r="AS203" s="1455" t="s">
        <v>7930</v>
      </c>
    </row>
    <row r="204" spans="1:58" ht="15.6" hidden="1" customHeight="1">
      <c r="A204" s="271" t="s">
        <v>311</v>
      </c>
      <c r="B204" s="271" t="str">
        <f t="shared" si="68"/>
        <v>Hide</v>
      </c>
      <c r="I204" s="413" t="str">
        <f t="shared" si="75"/>
        <v>53910</v>
      </c>
      <c r="K204" s="337" t="str">
        <f>"564043"</f>
        <v>564043</v>
      </c>
      <c r="L204" s="275" t="str">
        <f t="shared" si="69"/>
        <v>001</v>
      </c>
      <c r="M204" s="275" t="str">
        <f t="shared" si="70"/>
        <v>10/1/2016..9/30/2017</v>
      </c>
      <c r="N204" s="274" t="str">
        <f t="shared" si="71"/>
        <v>HARMONY CDD</v>
      </c>
      <c r="O204" s="387" t="str">
        <f t="shared" si="72"/>
        <v>564043 53910</v>
      </c>
      <c r="P204" s="283" t="str">
        <f t="shared" si="73"/>
        <v>564043</v>
      </c>
      <c r="R204" s="389" t="s">
        <v>362</v>
      </c>
      <c r="S204" s="308"/>
      <c r="T204" s="388">
        <v>0</v>
      </c>
      <c r="U204" s="401"/>
      <c r="V204" s="388">
        <v>0</v>
      </c>
      <c r="W204" s="338"/>
      <c r="X204" s="388">
        <v>0</v>
      </c>
      <c r="Y204" s="338"/>
      <c r="Z204" s="388">
        <v>0</v>
      </c>
      <c r="AA204" s="338"/>
      <c r="AB204" s="354">
        <v>0</v>
      </c>
      <c r="AC204" s="351"/>
      <c r="AD204" s="354">
        <v>0</v>
      </c>
      <c r="AE204" s="354"/>
      <c r="AF204" s="354">
        <v>0</v>
      </c>
      <c r="AG204" s="354"/>
      <c r="AH204" s="354">
        <v>0</v>
      </c>
      <c r="AI204" s="354"/>
      <c r="AJ204" s="391">
        <v>0</v>
      </c>
      <c r="AK204" s="354"/>
      <c r="AL204" s="350">
        <f t="shared" si="66"/>
        <v>0</v>
      </c>
      <c r="AM204" s="354"/>
      <c r="AN204" s="354">
        <v>0</v>
      </c>
      <c r="AO204" s="354"/>
      <c r="AP204" s="391">
        <f>IF($F$13="YES",AF204,AN204)</f>
        <v>0</v>
      </c>
      <c r="AQ204" s="344">
        <f t="shared" si="74"/>
        <v>0</v>
      </c>
      <c r="AR204" s="308"/>
      <c r="AS204" s="345"/>
    </row>
    <row r="205" spans="1:58" ht="3.95" hidden="1" customHeight="1">
      <c r="A205" s="271" t="s">
        <v>76</v>
      </c>
      <c r="B205" s="274" t="s">
        <v>31</v>
      </c>
      <c r="I205" s="413" t="str">
        <f>I170</f>
        <v>53910</v>
      </c>
      <c r="N205" s="274"/>
      <c r="P205" s="283"/>
      <c r="R205" s="308"/>
      <c r="S205" s="308"/>
      <c r="T205" s="401"/>
      <c r="U205" s="308"/>
      <c r="V205" s="401"/>
      <c r="W205" s="308"/>
      <c r="X205" s="401"/>
      <c r="Y205" s="308"/>
      <c r="Z205" s="401"/>
      <c r="AA205" s="308"/>
      <c r="AB205" s="383"/>
      <c r="AC205" s="402"/>
      <c r="AD205" s="383"/>
      <c r="AE205" s="402"/>
      <c r="AF205" s="383"/>
      <c r="AG205" s="402"/>
      <c r="AH205" s="383"/>
      <c r="AI205" s="402"/>
      <c r="AJ205" s="383"/>
      <c r="AK205" s="402"/>
      <c r="AL205" s="383"/>
      <c r="AM205" s="402"/>
      <c r="AN205" s="383"/>
      <c r="AO205" s="383"/>
      <c r="AP205" s="383"/>
      <c r="AQ205" s="308"/>
      <c r="AR205" s="308"/>
      <c r="AS205" s="403"/>
    </row>
    <row r="206" spans="1:58" ht="15" customHeight="1">
      <c r="A206" s="271" t="s">
        <v>76</v>
      </c>
      <c r="B206" s="271" t="str">
        <f>IF(AQ206=0,"Hide","Show")</f>
        <v>Show</v>
      </c>
      <c r="I206" s="413" t="str">
        <f t="shared" ref="I206:I207" si="76">I205</f>
        <v>53910</v>
      </c>
      <c r="N206" s="274"/>
      <c r="P206" s="283"/>
      <c r="R206" s="417" t="str">
        <f>"Total "&amp;($R169)</f>
        <v>Total Operation &amp; Maintenance</v>
      </c>
      <c r="S206" s="308"/>
      <c r="T206" s="393">
        <f>SUM(T170:T205)</f>
        <v>63569</v>
      </c>
      <c r="U206" s="322"/>
      <c r="V206" s="393">
        <f>SUM(V170:V205)</f>
        <v>0</v>
      </c>
      <c r="W206" s="404"/>
      <c r="X206" s="393">
        <f>SUM(X170:X205)</f>
        <v>0</v>
      </c>
      <c r="Y206" s="404"/>
      <c r="Z206" s="393">
        <f>SUM(Z170:Z205)</f>
        <v>0</v>
      </c>
      <c r="AA206" s="404"/>
      <c r="AB206" s="394">
        <f>SUM(AB170:AB205)</f>
        <v>166080</v>
      </c>
      <c r="AC206" s="405"/>
      <c r="AD206" s="394">
        <f>SUM(AD170:AD205)</f>
        <v>0</v>
      </c>
      <c r="AE206" s="386"/>
      <c r="AF206" s="394">
        <f>SUM(AF170:AF205)</f>
        <v>229900</v>
      </c>
      <c r="AG206" s="405"/>
      <c r="AH206" s="394">
        <f>SUM(AH170:AH205)</f>
        <v>84712</v>
      </c>
      <c r="AI206" s="405"/>
      <c r="AJ206" s="394">
        <f>SUM(AJ170:AJ205)</f>
        <v>71459</v>
      </c>
      <c r="AK206" s="405"/>
      <c r="AL206" s="394">
        <f>SUM(AL170:AL205)</f>
        <v>156171</v>
      </c>
      <c r="AM206" s="405"/>
      <c r="AN206" s="394">
        <f>SUM(AN170:AN205)</f>
        <v>0</v>
      </c>
      <c r="AO206" s="405"/>
      <c r="AP206" s="394">
        <f>SUM(AP170:AP205)</f>
        <v>175120</v>
      </c>
      <c r="AQ206" s="344">
        <f>ABS(SUMIF(V206:AP206,"&gt;0")-SUMIF(V206:AP206,"&lt;0"))</f>
        <v>883442</v>
      </c>
      <c r="AR206" s="308"/>
      <c r="AS206" s="403"/>
      <c r="AU206" s="274">
        <f>SUM(T169:T205)</f>
        <v>63569</v>
      </c>
      <c r="AV206" s="274">
        <f>SUM(V169:V205)</f>
        <v>0</v>
      </c>
      <c r="AW206" s="274">
        <f>SUM(X169:X205)</f>
        <v>0</v>
      </c>
      <c r="AX206" s="274">
        <f>SUM(Z169:Z205)</f>
        <v>0</v>
      </c>
      <c r="AY206" s="274">
        <f>SUM(AB169:AB205)</f>
        <v>166080</v>
      </c>
      <c r="AZ206" s="274">
        <f>SUM(AD169:AD205)</f>
        <v>0</v>
      </c>
      <c r="BA206" s="274">
        <f>SUM(AF169:AF205)</f>
        <v>229900</v>
      </c>
      <c r="BB206" s="274">
        <f>SUM(AH169:AH205)</f>
        <v>84712</v>
      </c>
      <c r="BC206" s="274">
        <f>SUM(AJ169:AJ205)</f>
        <v>71459</v>
      </c>
      <c r="BD206" s="274">
        <f>SUM(AL169:AL205)</f>
        <v>156171</v>
      </c>
      <c r="BE206" s="274">
        <f>SUM(AN169:AN205)</f>
        <v>0</v>
      </c>
      <c r="BF206" s="274">
        <f>SUM(AP169:AP205)</f>
        <v>175120</v>
      </c>
    </row>
    <row r="207" spans="1:58" ht="9.9499999999999993" hidden="1" customHeight="1">
      <c r="A207" s="271" t="s">
        <v>76</v>
      </c>
      <c r="B207" s="271" t="str">
        <f>B206</f>
        <v>Show</v>
      </c>
      <c r="I207" s="413" t="str">
        <f t="shared" si="76"/>
        <v>53910</v>
      </c>
      <c r="N207" s="274"/>
      <c r="P207" s="283"/>
      <c r="R207" s="308"/>
      <c r="S207" s="308"/>
      <c r="T207" s="308"/>
      <c r="U207" s="308"/>
      <c r="V207" s="308"/>
      <c r="W207" s="308"/>
      <c r="X207" s="308"/>
      <c r="Y207" s="308"/>
      <c r="Z207" s="308"/>
      <c r="AA207" s="308"/>
      <c r="AB207" s="402"/>
      <c r="AC207" s="402"/>
      <c r="AD207" s="402"/>
      <c r="AE207" s="402"/>
      <c r="AF207" s="402"/>
      <c r="AG207" s="402"/>
      <c r="AH207" s="402"/>
      <c r="AI207" s="402"/>
      <c r="AJ207" s="402"/>
      <c r="AK207" s="402"/>
      <c r="AL207" s="411"/>
      <c r="AM207" s="402"/>
      <c r="AN207" s="402"/>
      <c r="AO207" s="383"/>
      <c r="AP207" s="402"/>
      <c r="AQ207" s="308"/>
      <c r="AR207" s="308"/>
      <c r="AS207" s="403"/>
    </row>
    <row r="208" spans="1:58" hidden="1">
      <c r="A208" s="271" t="s">
        <v>76</v>
      </c>
      <c r="B208" s="271" t="s">
        <v>31</v>
      </c>
      <c r="H208" s="272" t="s">
        <v>365</v>
      </c>
      <c r="I208" s="412" t="str">
        <f>"57201"</f>
        <v>57201</v>
      </c>
      <c r="N208" s="274"/>
      <c r="R208" s="308"/>
      <c r="S208" s="308"/>
      <c r="T208" s="308"/>
      <c r="U208" s="308"/>
      <c r="V208" s="308"/>
      <c r="W208" s="308"/>
      <c r="X208" s="308"/>
      <c r="Y208" s="308"/>
      <c r="Z208" s="308"/>
      <c r="AA208" s="308"/>
      <c r="AB208" s="402"/>
      <c r="AC208" s="402"/>
      <c r="AD208" s="402"/>
      <c r="AE208" s="402"/>
      <c r="AF208" s="402"/>
      <c r="AG208" s="402"/>
      <c r="AH208" s="402"/>
      <c r="AI208" s="402"/>
      <c r="AJ208" s="402"/>
      <c r="AK208" s="402"/>
      <c r="AL208" s="411"/>
      <c r="AM208" s="402"/>
      <c r="AN208" s="402"/>
      <c r="AO208" s="383"/>
      <c r="AP208" s="402"/>
      <c r="AQ208" s="308"/>
      <c r="AR208" s="308"/>
      <c r="AS208" s="403"/>
    </row>
    <row r="209" spans="1:58" ht="15" hidden="1" customHeight="1">
      <c r="A209" s="271" t="s">
        <v>76</v>
      </c>
      <c r="B209" s="271" t="str">
        <f>IF(AQ212=0,"Hide","Show")</f>
        <v>Hide</v>
      </c>
      <c r="I209" s="413" t="str">
        <f t="shared" ref="I209:I213" si="77">I208</f>
        <v>57201</v>
      </c>
      <c r="N209" s="274"/>
      <c r="R209" s="414" t="s">
        <v>432</v>
      </c>
      <c r="S209" s="308"/>
      <c r="T209" s="308"/>
      <c r="U209" s="308"/>
      <c r="V209" s="308"/>
      <c r="W209" s="308"/>
      <c r="X209" s="308"/>
      <c r="Y209" s="308"/>
      <c r="Z209" s="308"/>
      <c r="AA209" s="308"/>
      <c r="AB209" s="402"/>
      <c r="AC209" s="402"/>
      <c r="AD209" s="402"/>
      <c r="AE209" s="402"/>
      <c r="AF209" s="402"/>
      <c r="AG209" s="402"/>
      <c r="AH209" s="402"/>
      <c r="AI209" s="402"/>
      <c r="AJ209" s="402"/>
      <c r="AK209" s="402"/>
      <c r="AL209" s="411"/>
      <c r="AM209" s="402"/>
      <c r="AN209" s="402"/>
      <c r="AO209" s="383"/>
      <c r="AP209" s="402"/>
      <c r="AQ209" s="308"/>
      <c r="AR209" s="308"/>
      <c r="AS209" s="403"/>
      <c r="AU209" s="362" t="s">
        <v>301</v>
      </c>
      <c r="AV209" s="362" t="str">
        <f>$V$33</f>
        <v>FY 2012</v>
      </c>
      <c r="AW209" s="362" t="str">
        <f>$X$33</f>
        <v>FY 2013</v>
      </c>
      <c r="AX209" s="362" t="str">
        <f>$Z$33</f>
        <v>FY 2014</v>
      </c>
      <c r="AY209" s="362" t="str">
        <f>$AB$33</f>
        <v>FY - 2015</v>
      </c>
      <c r="AZ209" s="362" t="s">
        <v>327</v>
      </c>
      <c r="BA209" s="362" t="s">
        <v>328</v>
      </c>
      <c r="BB209" s="362" t="s">
        <v>329</v>
      </c>
      <c r="BC209" s="362" t="s">
        <v>330</v>
      </c>
      <c r="BD209" s="362" t="s">
        <v>289</v>
      </c>
      <c r="BE209" s="362" t="s">
        <v>331</v>
      </c>
      <c r="BF209" s="362" t="s">
        <v>332</v>
      </c>
    </row>
    <row r="210" spans="1:58" ht="15.6" hidden="1" customHeight="1">
      <c r="A210" s="271" t="s">
        <v>311</v>
      </c>
      <c r="B210" s="271" t="str">
        <f>IF(AQ210=0,"Hide","Show")</f>
        <v>Hide</v>
      </c>
      <c r="I210" s="413" t="str">
        <f t="shared" si="77"/>
        <v>57201</v>
      </c>
      <c r="K210" s="337" t="s">
        <v>433</v>
      </c>
      <c r="L210" s="275" t="str">
        <f>$F$22</f>
        <v>001</v>
      </c>
      <c r="M210" s="275" t="str">
        <f>$J$7</f>
        <v>10/1/2016..9/30/2017</v>
      </c>
      <c r="N210" s="274" t="str">
        <f>$D$6</f>
        <v>HARMONY CDD</v>
      </c>
      <c r="O210" s="387" t="str">
        <f>IF(I210="","500000 51800",K210&amp;" "&amp;I210)</f>
        <v>546135 57201</v>
      </c>
      <c r="P210" s="283" t="str">
        <f>K210</f>
        <v>546135</v>
      </c>
      <c r="R210" s="389" t="s">
        <v>418</v>
      </c>
      <c r="S210" s="308"/>
      <c r="T210" s="388">
        <v>0</v>
      </c>
      <c r="U210" s="401"/>
      <c r="V210" s="388">
        <v>0</v>
      </c>
      <c r="W210" s="338"/>
      <c r="X210" s="388">
        <v>0</v>
      </c>
      <c r="Y210" s="338"/>
      <c r="Z210" s="388">
        <v>0</v>
      </c>
      <c r="AA210" s="338"/>
      <c r="AB210" s="354">
        <v>0</v>
      </c>
      <c r="AC210" s="351"/>
      <c r="AD210" s="354">
        <v>0</v>
      </c>
      <c r="AE210" s="354"/>
      <c r="AF210" s="354">
        <v>0</v>
      </c>
      <c r="AG210" s="354"/>
      <c r="AH210" s="354">
        <v>0</v>
      </c>
      <c r="AI210" s="354"/>
      <c r="AJ210" s="391">
        <v>0</v>
      </c>
      <c r="AK210" s="354"/>
      <c r="AL210" s="415">
        <f>IF(ISERROR(AH210+AJ210),0,(AH210+AJ210))</f>
        <v>0</v>
      </c>
      <c r="AM210" s="354"/>
      <c r="AN210" s="354">
        <v>0</v>
      </c>
      <c r="AO210" s="354"/>
      <c r="AP210" s="391">
        <f>IF($F$13="YES",AF210,AN210)</f>
        <v>0</v>
      </c>
      <c r="AQ210" s="344">
        <f>ABS(SUMIF(V210:AP210,"&gt;0")-SUMIF(V210:AP210,"&lt;0"))</f>
        <v>0</v>
      </c>
      <c r="AR210" s="308"/>
      <c r="AS210" s="345"/>
    </row>
    <row r="211" spans="1:58" ht="3.95" hidden="1" customHeight="1">
      <c r="A211" s="271" t="s">
        <v>76</v>
      </c>
      <c r="B211" s="274" t="s">
        <v>31</v>
      </c>
      <c r="I211" s="413" t="str">
        <f t="shared" si="77"/>
        <v>57201</v>
      </c>
      <c r="N211" s="274"/>
      <c r="P211" s="283"/>
      <c r="R211" s="308"/>
      <c r="S211" s="308"/>
      <c r="T211" s="401"/>
      <c r="U211" s="308"/>
      <c r="V211" s="401"/>
      <c r="W211" s="308"/>
      <c r="X211" s="401"/>
      <c r="Y211" s="308"/>
      <c r="Z211" s="401"/>
      <c r="AA211" s="308"/>
      <c r="AB211" s="383"/>
      <c r="AC211" s="402"/>
      <c r="AD211" s="383"/>
      <c r="AE211" s="402"/>
      <c r="AF211" s="383"/>
      <c r="AG211" s="402"/>
      <c r="AH211" s="383"/>
      <c r="AI211" s="402"/>
      <c r="AJ211" s="383"/>
      <c r="AK211" s="402"/>
      <c r="AL211" s="416"/>
      <c r="AM211" s="402"/>
      <c r="AN211" s="383"/>
      <c r="AO211" s="383"/>
      <c r="AP211" s="383"/>
      <c r="AQ211" s="308"/>
      <c r="AR211" s="308"/>
      <c r="AS211" s="403"/>
    </row>
    <row r="212" spans="1:58" ht="15" hidden="1" customHeight="1">
      <c r="A212" s="271" t="s">
        <v>76</v>
      </c>
      <c r="B212" s="271" t="str">
        <f>IF(AQ212=0,"Hide","Show")</f>
        <v>Hide</v>
      </c>
      <c r="I212" s="413" t="str">
        <f t="shared" si="77"/>
        <v>57201</v>
      </c>
      <c r="N212" s="274"/>
      <c r="P212" s="283"/>
      <c r="R212" s="417" t="str">
        <f>"Total "&amp;($R209)</f>
        <v>Total Parks and Recreation - General</v>
      </c>
      <c r="S212" s="308"/>
      <c r="T212" s="393">
        <f>SUM(T210:T211)</f>
        <v>0</v>
      </c>
      <c r="U212" s="322"/>
      <c r="V212" s="393">
        <f>SUM(V210:V211)</f>
        <v>0</v>
      </c>
      <c r="W212" s="404"/>
      <c r="X212" s="393">
        <f>SUM(X210:X211)</f>
        <v>0</v>
      </c>
      <c r="Y212" s="404"/>
      <c r="Z212" s="393">
        <f>SUM(Z210:Z211)</f>
        <v>0</v>
      </c>
      <c r="AA212" s="404"/>
      <c r="AB212" s="394">
        <f>SUM(AB210:AB211)</f>
        <v>0</v>
      </c>
      <c r="AC212" s="405"/>
      <c r="AD212" s="394">
        <f>SUM(AD210:AD211)</f>
        <v>0</v>
      </c>
      <c r="AE212" s="386"/>
      <c r="AF212" s="394">
        <f>SUM(AF210:AF211)</f>
        <v>0</v>
      </c>
      <c r="AG212" s="405"/>
      <c r="AH212" s="394">
        <f>SUM(AH210:AH211)</f>
        <v>0</v>
      </c>
      <c r="AI212" s="405"/>
      <c r="AJ212" s="394">
        <f>SUM(AJ210:AJ211)</f>
        <v>0</v>
      </c>
      <c r="AK212" s="405"/>
      <c r="AL212" s="418">
        <f>SUM(AL210:AL211)</f>
        <v>0</v>
      </c>
      <c r="AM212" s="405"/>
      <c r="AN212" s="394">
        <f>SUM(AN210:AN211)</f>
        <v>0</v>
      </c>
      <c r="AO212" s="405"/>
      <c r="AP212" s="394">
        <f>SUM(AP210:AP211)</f>
        <v>0</v>
      </c>
      <c r="AQ212" s="344">
        <f>ABS(SUMIF(V212:AP212,"&gt;0")-SUMIF(V212:AP212,"&lt;0"))</f>
        <v>0</v>
      </c>
      <c r="AR212" s="308"/>
      <c r="AS212" s="403"/>
      <c r="AU212" s="274">
        <f>SUM(T209:T211)</f>
        <v>0</v>
      </c>
      <c r="AV212" s="274">
        <f>SUM(V209:V211)</f>
        <v>0</v>
      </c>
      <c r="AW212" s="274">
        <f>SUM(X209:X211)</f>
        <v>0</v>
      </c>
      <c r="AX212" s="274">
        <f>SUM(Z209:Z211)</f>
        <v>0</v>
      </c>
      <c r="AY212" s="274">
        <f>SUM(AB209:AB211)</f>
        <v>0</v>
      </c>
      <c r="AZ212" s="274">
        <f>SUM(AD209:AD211)</f>
        <v>0</v>
      </c>
      <c r="BA212" s="274">
        <f>SUM(AF209:AF211)</f>
        <v>0</v>
      </c>
      <c r="BB212" s="274">
        <f>SUM(AH209:AH211)</f>
        <v>0</v>
      </c>
      <c r="BC212" s="274">
        <f>SUM(AJ209:AJ211)</f>
        <v>0</v>
      </c>
      <c r="BD212" s="274">
        <f>SUM(AL209:AL211)</f>
        <v>0</v>
      </c>
      <c r="BE212" s="274">
        <f>SUM(AN209:AN211)</f>
        <v>0</v>
      </c>
      <c r="BF212" s="274">
        <f>SUM(AP209:AP211)</f>
        <v>0</v>
      </c>
    </row>
    <row r="213" spans="1:58" ht="9.9499999999999993" hidden="1" customHeight="1">
      <c r="A213" s="271" t="s">
        <v>76</v>
      </c>
      <c r="B213" s="271" t="str">
        <f>B212</f>
        <v>Hide</v>
      </c>
      <c r="I213" s="413" t="str">
        <f t="shared" si="77"/>
        <v>57201</v>
      </c>
      <c r="N213" s="274"/>
      <c r="P213" s="283"/>
      <c r="R213" s="308"/>
      <c r="S213" s="308"/>
      <c r="T213" s="308"/>
      <c r="U213" s="308"/>
      <c r="V213" s="308"/>
      <c r="W213" s="308"/>
      <c r="X213" s="308"/>
      <c r="Y213" s="308"/>
      <c r="Z213" s="308"/>
      <c r="AA213" s="308"/>
      <c r="AB213" s="402"/>
      <c r="AC213" s="402"/>
      <c r="AD213" s="402"/>
      <c r="AE213" s="402"/>
      <c r="AF213" s="402"/>
      <c r="AG213" s="402"/>
      <c r="AH213" s="402"/>
      <c r="AI213" s="402"/>
      <c r="AJ213" s="402"/>
      <c r="AK213" s="402"/>
      <c r="AL213" s="411"/>
      <c r="AM213" s="402"/>
      <c r="AN213" s="402"/>
      <c r="AO213" s="383"/>
      <c r="AP213" s="402"/>
      <c r="AQ213" s="308"/>
      <c r="AR213" s="308"/>
      <c r="AS213" s="403"/>
    </row>
    <row r="214" spans="1:58" hidden="1">
      <c r="A214" s="271" t="s">
        <v>76</v>
      </c>
      <c r="B214" s="271" t="s">
        <v>31</v>
      </c>
      <c r="H214" s="272" t="s">
        <v>365</v>
      </c>
      <c r="I214" s="412" t="str">
        <f>"57205"</f>
        <v>57205</v>
      </c>
      <c r="N214" s="274"/>
      <c r="R214" s="308"/>
      <c r="S214" s="308"/>
      <c r="T214" s="308"/>
      <c r="U214" s="308"/>
      <c r="V214" s="308"/>
      <c r="W214" s="308"/>
      <c r="X214" s="308"/>
      <c r="Y214" s="308"/>
      <c r="Z214" s="308"/>
      <c r="AA214" s="308"/>
      <c r="AB214" s="402"/>
      <c r="AC214" s="402"/>
      <c r="AD214" s="402"/>
      <c r="AE214" s="402"/>
      <c r="AF214" s="402"/>
      <c r="AG214" s="402"/>
      <c r="AH214" s="402"/>
      <c r="AI214" s="402"/>
      <c r="AJ214" s="402"/>
      <c r="AK214" s="402"/>
      <c r="AL214" s="411"/>
      <c r="AM214" s="402"/>
      <c r="AN214" s="402"/>
      <c r="AO214" s="383"/>
      <c r="AP214" s="402"/>
      <c r="AQ214" s="308"/>
      <c r="AR214" s="308"/>
      <c r="AS214" s="403"/>
    </row>
    <row r="215" spans="1:58" ht="15" hidden="1" customHeight="1">
      <c r="A215" s="271" t="s">
        <v>76</v>
      </c>
      <c r="B215" s="271" t="str">
        <f>IF(AQ218=0,"Hide","Show")</f>
        <v>Hide</v>
      </c>
      <c r="I215" s="413" t="str">
        <f t="shared" ref="I215:I219" si="78">I214</f>
        <v>57205</v>
      </c>
      <c r="N215" s="274"/>
      <c r="R215" s="414" t="s">
        <v>434</v>
      </c>
      <c r="S215" s="308"/>
      <c r="T215" s="308"/>
      <c r="U215" s="308"/>
      <c r="V215" s="308"/>
      <c r="W215" s="308"/>
      <c r="X215" s="308"/>
      <c r="Y215" s="308"/>
      <c r="Z215" s="308"/>
      <c r="AA215" s="308"/>
      <c r="AB215" s="402"/>
      <c r="AC215" s="402"/>
      <c r="AD215" s="402"/>
      <c r="AE215" s="402"/>
      <c r="AF215" s="402"/>
      <c r="AG215" s="402"/>
      <c r="AH215" s="402"/>
      <c r="AI215" s="402"/>
      <c r="AJ215" s="402"/>
      <c r="AK215" s="402"/>
      <c r="AL215" s="411"/>
      <c r="AM215" s="402"/>
      <c r="AN215" s="402"/>
      <c r="AO215" s="383"/>
      <c r="AP215" s="402"/>
      <c r="AQ215" s="308"/>
      <c r="AR215" s="308"/>
      <c r="AS215" s="403"/>
      <c r="AU215" s="362" t="s">
        <v>301</v>
      </c>
      <c r="AV215" s="362" t="str">
        <f>$V$33</f>
        <v>FY 2012</v>
      </c>
      <c r="AW215" s="362" t="str">
        <f>$X$33</f>
        <v>FY 2013</v>
      </c>
      <c r="AX215" s="362" t="str">
        <f>$Z$33</f>
        <v>FY 2014</v>
      </c>
      <c r="AY215" s="362" t="str">
        <f>$AB$33</f>
        <v>FY - 2015</v>
      </c>
      <c r="AZ215" s="362" t="s">
        <v>327</v>
      </c>
      <c r="BA215" s="362" t="s">
        <v>328</v>
      </c>
      <c r="BB215" s="362" t="s">
        <v>329</v>
      </c>
      <c r="BC215" s="362" t="s">
        <v>330</v>
      </c>
      <c r="BD215" s="362" t="s">
        <v>289</v>
      </c>
      <c r="BE215" s="362" t="s">
        <v>331</v>
      </c>
      <c r="BF215" s="362" t="s">
        <v>332</v>
      </c>
    </row>
    <row r="216" spans="1:58" ht="15.6" hidden="1" customHeight="1">
      <c r="A216" s="271" t="s">
        <v>311</v>
      </c>
      <c r="B216" s="271" t="str">
        <f>IF(AQ216=0,"Hide","Show")</f>
        <v>Hide</v>
      </c>
      <c r="I216" s="413" t="str">
        <f t="shared" si="78"/>
        <v>57205</v>
      </c>
      <c r="K216" s="337" t="s">
        <v>435</v>
      </c>
      <c r="L216" s="275" t="str">
        <f>$F$22</f>
        <v>001</v>
      </c>
      <c r="M216" s="275" t="str">
        <f>$J$7</f>
        <v>10/1/2016..9/30/2017</v>
      </c>
      <c r="N216" s="274" t="str">
        <f>$D$6</f>
        <v>HARMONY CDD</v>
      </c>
      <c r="O216" s="387" t="str">
        <f>IF(I216="","500000 51800",K216&amp;" "&amp;I216)</f>
        <v>549015 57205</v>
      </c>
      <c r="P216" s="283" t="str">
        <f>K216</f>
        <v>549015</v>
      </c>
      <c r="R216" s="389" t="s">
        <v>400</v>
      </c>
      <c r="S216" s="308"/>
      <c r="T216" s="388">
        <v>0</v>
      </c>
      <c r="U216" s="401"/>
      <c r="V216" s="388">
        <v>0</v>
      </c>
      <c r="W216" s="338"/>
      <c r="X216" s="388">
        <v>0</v>
      </c>
      <c r="Y216" s="338"/>
      <c r="Z216" s="388">
        <v>0</v>
      </c>
      <c r="AA216" s="338"/>
      <c r="AB216" s="354">
        <v>0</v>
      </c>
      <c r="AC216" s="351"/>
      <c r="AD216" s="354">
        <v>0</v>
      </c>
      <c r="AE216" s="354"/>
      <c r="AF216" s="354">
        <v>0</v>
      </c>
      <c r="AG216" s="354"/>
      <c r="AH216" s="354">
        <v>0</v>
      </c>
      <c r="AI216" s="354"/>
      <c r="AJ216" s="391">
        <v>0</v>
      </c>
      <c r="AK216" s="354"/>
      <c r="AL216" s="415">
        <f>IF(ISERROR(AH216+AJ216),0,(AH216+AJ216))</f>
        <v>0</v>
      </c>
      <c r="AM216" s="354"/>
      <c r="AN216" s="354">
        <v>0</v>
      </c>
      <c r="AO216" s="354"/>
      <c r="AP216" s="391">
        <f>IF($F$13="YES",AF216,AN216)</f>
        <v>0</v>
      </c>
      <c r="AQ216" s="344">
        <f>ABS(SUMIF(V216:AP216,"&gt;0")-SUMIF(V216:AP216,"&lt;0"))</f>
        <v>0</v>
      </c>
      <c r="AR216" s="308"/>
      <c r="AS216" s="345"/>
    </row>
    <row r="217" spans="1:58" ht="3.95" hidden="1" customHeight="1">
      <c r="A217" s="271" t="s">
        <v>76</v>
      </c>
      <c r="B217" s="274" t="s">
        <v>31</v>
      </c>
      <c r="I217" s="413" t="str">
        <f t="shared" si="78"/>
        <v>57205</v>
      </c>
      <c r="N217" s="274"/>
      <c r="P217" s="283"/>
      <c r="R217" s="308"/>
      <c r="S217" s="308"/>
      <c r="T217" s="401"/>
      <c r="U217" s="308"/>
      <c r="V217" s="401"/>
      <c r="W217" s="308"/>
      <c r="X217" s="401"/>
      <c r="Y217" s="308"/>
      <c r="Z217" s="401"/>
      <c r="AA217" s="308"/>
      <c r="AB217" s="383"/>
      <c r="AC217" s="402"/>
      <c r="AD217" s="383"/>
      <c r="AE217" s="402"/>
      <c r="AF217" s="383"/>
      <c r="AG217" s="402"/>
      <c r="AH217" s="383"/>
      <c r="AI217" s="402"/>
      <c r="AJ217" s="383"/>
      <c r="AK217" s="402"/>
      <c r="AL217" s="416"/>
      <c r="AM217" s="402"/>
      <c r="AN217" s="383"/>
      <c r="AO217" s="383"/>
      <c r="AP217" s="383"/>
      <c r="AQ217" s="308"/>
      <c r="AR217" s="308"/>
      <c r="AS217" s="403"/>
    </row>
    <row r="218" spans="1:58" ht="15" hidden="1" customHeight="1">
      <c r="A218" s="271" t="s">
        <v>76</v>
      </c>
      <c r="B218" s="271" t="str">
        <f>IF(AQ218=0,"Hide","Show")</f>
        <v>Hide</v>
      </c>
      <c r="I218" s="413" t="str">
        <f t="shared" si="78"/>
        <v>57205</v>
      </c>
      <c r="N218" s="274"/>
      <c r="P218" s="283"/>
      <c r="R218" s="417" t="str">
        <f>"Total "&amp;($R215)</f>
        <v>Total Swimming Pool</v>
      </c>
      <c r="S218" s="308"/>
      <c r="T218" s="393">
        <f>SUM(T216:T217)</f>
        <v>0</v>
      </c>
      <c r="U218" s="322"/>
      <c r="V218" s="393">
        <f>SUM(V216:V217)</f>
        <v>0</v>
      </c>
      <c r="W218" s="404"/>
      <c r="X218" s="393">
        <f>SUM(X216:X217)</f>
        <v>0</v>
      </c>
      <c r="Y218" s="404"/>
      <c r="Z218" s="393">
        <f>SUM(Z216:Z217)</f>
        <v>0</v>
      </c>
      <c r="AA218" s="404"/>
      <c r="AB218" s="394">
        <f>SUM(AB216:AB217)</f>
        <v>0</v>
      </c>
      <c r="AC218" s="405"/>
      <c r="AD218" s="394">
        <f>SUM(AD216:AD217)</f>
        <v>0</v>
      </c>
      <c r="AE218" s="386"/>
      <c r="AF218" s="394">
        <f>SUM(AF216:AF217)</f>
        <v>0</v>
      </c>
      <c r="AG218" s="405"/>
      <c r="AH218" s="394">
        <f>SUM(AH216:AH217)</f>
        <v>0</v>
      </c>
      <c r="AI218" s="405"/>
      <c r="AJ218" s="394">
        <f>SUM(AJ216:AJ217)</f>
        <v>0</v>
      </c>
      <c r="AK218" s="405"/>
      <c r="AL218" s="418">
        <f>SUM(AL216:AL217)</f>
        <v>0</v>
      </c>
      <c r="AM218" s="405"/>
      <c r="AN218" s="394">
        <f>SUM(AN216:AN217)</f>
        <v>0</v>
      </c>
      <c r="AO218" s="405"/>
      <c r="AP218" s="394">
        <f>SUM(AP216:AP217)</f>
        <v>0</v>
      </c>
      <c r="AQ218" s="344">
        <f>ABS(SUMIF(V218:AP218,"&gt;0")-SUMIF(V218:AP218,"&lt;0"))</f>
        <v>0</v>
      </c>
      <c r="AR218" s="308"/>
      <c r="AS218" s="403"/>
      <c r="AU218" s="274">
        <f>SUM(T215:T217)</f>
        <v>0</v>
      </c>
      <c r="AV218" s="274">
        <f>SUM(V215:V217)</f>
        <v>0</v>
      </c>
      <c r="AW218" s="274">
        <f>SUM(X215:X217)</f>
        <v>0</v>
      </c>
      <c r="AX218" s="274">
        <f>SUM(Z215:Z217)</f>
        <v>0</v>
      </c>
      <c r="AY218" s="274">
        <f>SUM(AB215:AB217)</f>
        <v>0</v>
      </c>
      <c r="AZ218" s="274">
        <f>SUM(AD215:AD217)</f>
        <v>0</v>
      </c>
      <c r="BA218" s="274">
        <f>SUM(AF215:AF217)</f>
        <v>0</v>
      </c>
      <c r="BB218" s="274">
        <f>SUM(AH215:AH217)</f>
        <v>0</v>
      </c>
      <c r="BC218" s="274">
        <f>SUM(AJ215:AJ217)</f>
        <v>0</v>
      </c>
      <c r="BD218" s="274">
        <f>SUM(AL215:AL217)</f>
        <v>0</v>
      </c>
      <c r="BE218" s="274">
        <f>SUM(AN215:AN217)</f>
        <v>0</v>
      </c>
      <c r="BF218" s="274">
        <f>SUM(AP215:AP217)</f>
        <v>0</v>
      </c>
    </row>
    <row r="219" spans="1:58" ht="9.9499999999999993" hidden="1" customHeight="1">
      <c r="A219" s="271" t="s">
        <v>76</v>
      </c>
      <c r="B219" s="271" t="str">
        <f>B218</f>
        <v>Hide</v>
      </c>
      <c r="I219" s="413" t="str">
        <f t="shared" si="78"/>
        <v>57205</v>
      </c>
      <c r="N219" s="274"/>
      <c r="P219" s="283"/>
      <c r="R219" s="308"/>
      <c r="S219" s="308"/>
      <c r="T219" s="308"/>
      <c r="U219" s="308"/>
      <c r="V219" s="308"/>
      <c r="W219" s="308"/>
      <c r="X219" s="308"/>
      <c r="Y219" s="308"/>
      <c r="Z219" s="308"/>
      <c r="AA219" s="308"/>
      <c r="AB219" s="402"/>
      <c r="AC219" s="402"/>
      <c r="AD219" s="402"/>
      <c r="AE219" s="402"/>
      <c r="AF219" s="402"/>
      <c r="AG219" s="402"/>
      <c r="AH219" s="402"/>
      <c r="AI219" s="402"/>
      <c r="AJ219" s="402"/>
      <c r="AK219" s="402"/>
      <c r="AL219" s="411"/>
      <c r="AM219" s="402"/>
      <c r="AN219" s="402"/>
      <c r="AO219" s="383"/>
      <c r="AP219" s="402"/>
      <c r="AQ219" s="308"/>
      <c r="AR219" s="308"/>
      <c r="AS219" s="403"/>
    </row>
    <row r="220" spans="1:58" hidden="1">
      <c r="A220" s="271" t="s">
        <v>76</v>
      </c>
      <c r="B220" s="271" t="s">
        <v>31</v>
      </c>
      <c r="H220" s="272" t="s">
        <v>365</v>
      </c>
      <c r="I220" s="412" t="str">
        <f>"57206"</f>
        <v>57206</v>
      </c>
      <c r="N220" s="274"/>
      <c r="R220" s="308"/>
      <c r="S220" s="308"/>
      <c r="T220" s="308"/>
      <c r="U220" s="308"/>
      <c r="V220" s="308"/>
      <c r="W220" s="308"/>
      <c r="X220" s="308"/>
      <c r="Y220" s="308"/>
      <c r="Z220" s="308"/>
      <c r="AA220" s="308"/>
      <c r="AB220" s="402"/>
      <c r="AC220" s="402"/>
      <c r="AD220" s="402"/>
      <c r="AE220" s="402"/>
      <c r="AF220" s="402"/>
      <c r="AG220" s="402"/>
      <c r="AH220" s="402"/>
      <c r="AI220" s="402"/>
      <c r="AJ220" s="402"/>
      <c r="AK220" s="402"/>
      <c r="AL220" s="411"/>
      <c r="AM220" s="402"/>
      <c r="AN220" s="402"/>
      <c r="AO220" s="383"/>
      <c r="AP220" s="402"/>
      <c r="AQ220" s="308"/>
      <c r="AR220" s="308"/>
      <c r="AS220" s="403"/>
    </row>
    <row r="221" spans="1:58" ht="15" hidden="1" customHeight="1">
      <c r="A221" s="271" t="s">
        <v>76</v>
      </c>
      <c r="B221" s="271" t="str">
        <f>IF(AQ224=0,"Hide","Show")</f>
        <v>Hide</v>
      </c>
      <c r="I221" s="413" t="str">
        <f t="shared" ref="I221:I225" si="79">I220</f>
        <v>57206</v>
      </c>
      <c r="N221" s="274"/>
      <c r="R221" s="414" t="s">
        <v>436</v>
      </c>
      <c r="S221" s="308"/>
      <c r="T221" s="308"/>
      <c r="U221" s="308"/>
      <c r="V221" s="308"/>
      <c r="W221" s="308"/>
      <c r="X221" s="308"/>
      <c r="Y221" s="308"/>
      <c r="Z221" s="308"/>
      <c r="AA221" s="308"/>
      <c r="AB221" s="402"/>
      <c r="AC221" s="402"/>
      <c r="AD221" s="402"/>
      <c r="AE221" s="402"/>
      <c r="AF221" s="402"/>
      <c r="AG221" s="402"/>
      <c r="AH221" s="402"/>
      <c r="AI221" s="402"/>
      <c r="AJ221" s="402"/>
      <c r="AK221" s="402"/>
      <c r="AL221" s="411"/>
      <c r="AM221" s="402"/>
      <c r="AN221" s="402"/>
      <c r="AO221" s="383"/>
      <c r="AP221" s="402"/>
      <c r="AQ221" s="308"/>
      <c r="AR221" s="308"/>
      <c r="AS221" s="403"/>
      <c r="AU221" s="362" t="s">
        <v>301</v>
      </c>
      <c r="AV221" s="362" t="str">
        <f>$V$33</f>
        <v>FY 2012</v>
      </c>
      <c r="AW221" s="362" t="str">
        <f>$X$33</f>
        <v>FY 2013</v>
      </c>
      <c r="AX221" s="362" t="str">
        <f>$Z$33</f>
        <v>FY 2014</v>
      </c>
      <c r="AY221" s="362" t="str">
        <f>$AB$33</f>
        <v>FY - 2015</v>
      </c>
      <c r="AZ221" s="362" t="s">
        <v>327</v>
      </c>
      <c r="BA221" s="362" t="s">
        <v>328</v>
      </c>
      <c r="BB221" s="362" t="s">
        <v>329</v>
      </c>
      <c r="BC221" s="362" t="s">
        <v>330</v>
      </c>
      <c r="BD221" s="362" t="s">
        <v>289</v>
      </c>
      <c r="BE221" s="362" t="s">
        <v>331</v>
      </c>
      <c r="BF221" s="362" t="s">
        <v>332</v>
      </c>
    </row>
    <row r="222" spans="1:58" ht="15.6" hidden="1" customHeight="1">
      <c r="A222" s="271" t="s">
        <v>311</v>
      </c>
      <c r="B222" s="271" t="str">
        <f>IF(AQ222=0,"Hide","Show")</f>
        <v>Hide</v>
      </c>
      <c r="I222" s="413" t="str">
        <f t="shared" si="79"/>
        <v>57206</v>
      </c>
      <c r="K222" s="337" t="s">
        <v>435</v>
      </c>
      <c r="L222" s="275" t="str">
        <f>$F$22</f>
        <v>001</v>
      </c>
      <c r="M222" s="275" t="str">
        <f>$J$7</f>
        <v>10/1/2016..9/30/2017</v>
      </c>
      <c r="N222" s="274" t="str">
        <f>$D$6</f>
        <v>HARMONY CDD</v>
      </c>
      <c r="O222" s="387" t="str">
        <f>IF(I222="","500000 51800",K222&amp;" "&amp;I222)</f>
        <v>549015 57206</v>
      </c>
      <c r="P222" s="283" t="str">
        <f>K222</f>
        <v>549015</v>
      </c>
      <c r="R222" s="389" t="s">
        <v>400</v>
      </c>
      <c r="S222" s="308"/>
      <c r="T222" s="388">
        <v>0</v>
      </c>
      <c r="U222" s="401"/>
      <c r="V222" s="388">
        <v>0</v>
      </c>
      <c r="W222" s="338"/>
      <c r="X222" s="388">
        <v>0</v>
      </c>
      <c r="Y222" s="338"/>
      <c r="Z222" s="388">
        <v>0</v>
      </c>
      <c r="AA222" s="338"/>
      <c r="AB222" s="354">
        <v>0</v>
      </c>
      <c r="AC222" s="351"/>
      <c r="AD222" s="354">
        <v>0</v>
      </c>
      <c r="AE222" s="354"/>
      <c r="AF222" s="354">
        <v>0</v>
      </c>
      <c r="AG222" s="354"/>
      <c r="AH222" s="354">
        <v>0</v>
      </c>
      <c r="AI222" s="354"/>
      <c r="AJ222" s="391">
        <v>0</v>
      </c>
      <c r="AK222" s="354"/>
      <c r="AL222" s="415">
        <f>IF(ISERROR(AH222+AJ222),0,(AH222+AJ222))</f>
        <v>0</v>
      </c>
      <c r="AM222" s="354"/>
      <c r="AN222" s="354">
        <v>0</v>
      </c>
      <c r="AO222" s="354"/>
      <c r="AP222" s="391">
        <f>IF($F$13="YES",AF222,AN222)</f>
        <v>0</v>
      </c>
      <c r="AQ222" s="344">
        <f>ABS(SUMIF(V222:AP222,"&gt;0")-SUMIF(V222:AP222,"&lt;0"))</f>
        <v>0</v>
      </c>
      <c r="AR222" s="308"/>
      <c r="AS222" s="345"/>
    </row>
    <row r="223" spans="1:58" ht="3.95" hidden="1" customHeight="1">
      <c r="A223" s="271" t="s">
        <v>76</v>
      </c>
      <c r="B223" s="274" t="s">
        <v>31</v>
      </c>
      <c r="I223" s="413" t="str">
        <f t="shared" si="79"/>
        <v>57206</v>
      </c>
      <c r="N223" s="274"/>
      <c r="P223" s="283"/>
      <c r="R223" s="308"/>
      <c r="S223" s="308"/>
      <c r="T223" s="401"/>
      <c r="U223" s="308"/>
      <c r="V223" s="401"/>
      <c r="W223" s="308"/>
      <c r="X223" s="401"/>
      <c r="Y223" s="308"/>
      <c r="Z223" s="401"/>
      <c r="AA223" s="308"/>
      <c r="AB223" s="383"/>
      <c r="AC223" s="402"/>
      <c r="AD223" s="383"/>
      <c r="AE223" s="402"/>
      <c r="AF223" s="383"/>
      <c r="AG223" s="402"/>
      <c r="AH223" s="383"/>
      <c r="AI223" s="402"/>
      <c r="AJ223" s="383"/>
      <c r="AK223" s="402"/>
      <c r="AL223" s="416"/>
      <c r="AM223" s="402"/>
      <c r="AN223" s="383"/>
      <c r="AO223" s="383"/>
      <c r="AP223" s="383"/>
      <c r="AQ223" s="308"/>
      <c r="AR223" s="308"/>
      <c r="AS223" s="403"/>
    </row>
    <row r="224" spans="1:58" ht="15" hidden="1" customHeight="1">
      <c r="A224" s="271" t="s">
        <v>76</v>
      </c>
      <c r="B224" s="271" t="str">
        <f>IF(AQ224=0,"Hide","Show")</f>
        <v>Hide</v>
      </c>
      <c r="I224" s="413" t="str">
        <f t="shared" si="79"/>
        <v>57206</v>
      </c>
      <c r="N224" s="274"/>
      <c r="P224" s="283"/>
      <c r="R224" s="417" t="str">
        <f>"Total "&amp;($R221)</f>
        <v>Total Tennis Court</v>
      </c>
      <c r="S224" s="308"/>
      <c r="T224" s="393">
        <f>SUM(T222:T223)</f>
        <v>0</v>
      </c>
      <c r="U224" s="322"/>
      <c r="V224" s="393">
        <f>SUM(V222:V223)</f>
        <v>0</v>
      </c>
      <c r="W224" s="404"/>
      <c r="X224" s="393">
        <f>SUM(X222:X223)</f>
        <v>0</v>
      </c>
      <c r="Y224" s="404"/>
      <c r="Z224" s="393">
        <f>SUM(Z222:Z223)</f>
        <v>0</v>
      </c>
      <c r="AA224" s="404"/>
      <c r="AB224" s="394">
        <f>SUM(AB222:AB223)</f>
        <v>0</v>
      </c>
      <c r="AC224" s="405"/>
      <c r="AD224" s="394">
        <f>SUM(AD222:AD223)</f>
        <v>0</v>
      </c>
      <c r="AE224" s="386"/>
      <c r="AF224" s="394">
        <f>SUM(AF222:AF223)</f>
        <v>0</v>
      </c>
      <c r="AG224" s="405"/>
      <c r="AH224" s="394">
        <f>SUM(AH222:AH223)</f>
        <v>0</v>
      </c>
      <c r="AI224" s="405"/>
      <c r="AJ224" s="394">
        <f>SUM(AJ222:AJ223)</f>
        <v>0</v>
      </c>
      <c r="AK224" s="405"/>
      <c r="AL224" s="418">
        <f>SUM(AL222:AL223)</f>
        <v>0</v>
      </c>
      <c r="AM224" s="405"/>
      <c r="AN224" s="394">
        <f>SUM(AN222:AN223)</f>
        <v>0</v>
      </c>
      <c r="AO224" s="405"/>
      <c r="AP224" s="394">
        <f>SUM(AP222:AP223)</f>
        <v>0</v>
      </c>
      <c r="AQ224" s="344">
        <f>ABS(SUMIF(V224:AP224,"&gt;0")-SUMIF(V224:AP224,"&lt;0"))</f>
        <v>0</v>
      </c>
      <c r="AR224" s="308"/>
      <c r="AS224" s="403"/>
      <c r="AU224" s="274">
        <f>SUM(T221:T223)</f>
        <v>0</v>
      </c>
      <c r="AV224" s="274">
        <f>SUM(V221:V223)</f>
        <v>0</v>
      </c>
      <c r="AW224" s="274">
        <f>SUM(X221:X223)</f>
        <v>0</v>
      </c>
      <c r="AX224" s="274">
        <f>SUM(Z221:Z223)</f>
        <v>0</v>
      </c>
      <c r="AY224" s="274">
        <f>SUM(AB221:AB223)</f>
        <v>0</v>
      </c>
      <c r="AZ224" s="274">
        <f>SUM(AD221:AD223)</f>
        <v>0</v>
      </c>
      <c r="BA224" s="274">
        <f>SUM(AF221:AF223)</f>
        <v>0</v>
      </c>
      <c r="BB224" s="274">
        <f>SUM(AH221:AH223)</f>
        <v>0</v>
      </c>
      <c r="BC224" s="274">
        <f>SUM(AJ221:AJ223)</f>
        <v>0</v>
      </c>
      <c r="BD224" s="274">
        <f>SUM(AL221:AL223)</f>
        <v>0</v>
      </c>
      <c r="BE224" s="274">
        <f>SUM(AN221:AN223)</f>
        <v>0</v>
      </c>
      <c r="BF224" s="274">
        <f>SUM(AP221:AP223)</f>
        <v>0</v>
      </c>
    </row>
    <row r="225" spans="1:45" ht="9.9499999999999993" hidden="1" customHeight="1">
      <c r="A225" s="271" t="s">
        <v>76</v>
      </c>
      <c r="B225" s="271" t="str">
        <f>B224</f>
        <v>Hide</v>
      </c>
      <c r="I225" s="413" t="str">
        <f t="shared" si="79"/>
        <v>57206</v>
      </c>
      <c r="N225" s="274"/>
      <c r="P225" s="283"/>
      <c r="R225" s="308"/>
      <c r="S225" s="308"/>
      <c r="T225" s="308"/>
      <c r="U225" s="308"/>
      <c r="V225" s="308"/>
      <c r="W225" s="308"/>
      <c r="X225" s="308"/>
      <c r="Y225" s="308"/>
      <c r="Z225" s="308"/>
      <c r="AA225" s="308"/>
      <c r="AB225" s="402"/>
      <c r="AC225" s="402"/>
      <c r="AD225" s="402"/>
      <c r="AE225" s="402"/>
      <c r="AF225" s="402"/>
      <c r="AG225" s="402"/>
      <c r="AH225" s="402"/>
      <c r="AI225" s="402"/>
      <c r="AJ225" s="402"/>
      <c r="AK225" s="402"/>
      <c r="AL225" s="411"/>
      <c r="AM225" s="402"/>
      <c r="AN225" s="402"/>
      <c r="AO225" s="383"/>
      <c r="AP225" s="402"/>
      <c r="AQ225" s="308"/>
      <c r="AR225" s="308"/>
      <c r="AS225" s="403"/>
    </row>
    <row r="226" spans="1:45" hidden="1">
      <c r="B226" s="271" t="s">
        <v>31</v>
      </c>
      <c r="N226" s="274"/>
      <c r="P226" s="283"/>
      <c r="R226" s="308"/>
      <c r="S226" s="308"/>
      <c r="T226" s="308"/>
      <c r="U226" s="308"/>
      <c r="V226" s="308"/>
      <c r="W226" s="308"/>
      <c r="X226" s="308"/>
      <c r="Y226" s="308"/>
      <c r="Z226" s="308"/>
      <c r="AA226" s="308"/>
      <c r="AB226" s="402"/>
      <c r="AC226" s="402"/>
      <c r="AD226" s="402"/>
      <c r="AE226" s="402"/>
      <c r="AF226" s="402"/>
      <c r="AG226" s="402"/>
      <c r="AH226" s="402"/>
      <c r="AI226" s="402"/>
      <c r="AJ226" s="402"/>
      <c r="AK226" s="402"/>
      <c r="AL226" s="411"/>
      <c r="AM226" s="402"/>
      <c r="AN226" s="402"/>
      <c r="AO226" s="383"/>
      <c r="AP226" s="402"/>
      <c r="AQ226" s="308"/>
      <c r="AR226" s="308"/>
      <c r="AS226" s="403"/>
    </row>
    <row r="227" spans="1:45" hidden="1">
      <c r="B227" s="271" t="s">
        <v>31</v>
      </c>
      <c r="N227" s="274"/>
      <c r="P227" s="283"/>
      <c r="R227" s="424" t="s">
        <v>437</v>
      </c>
      <c r="S227" s="424"/>
      <c r="T227" s="424">
        <f>SUM(AU110:AU226)</f>
        <v>498472</v>
      </c>
      <c r="U227" s="424"/>
      <c r="V227" s="424">
        <f>SUM(AV110:AV226)</f>
        <v>0</v>
      </c>
      <c r="W227" s="424"/>
      <c r="X227" s="424">
        <f>SUM(AW110:AW226)</f>
        <v>0</v>
      </c>
      <c r="Y227" s="424"/>
      <c r="Z227" s="424">
        <f>SUM(AX110:AX226)</f>
        <v>0</v>
      </c>
      <c r="AA227" s="424"/>
      <c r="AB227" s="425">
        <f>SUM(AY110:AY226)</f>
        <v>1955682</v>
      </c>
      <c r="AC227" s="425"/>
      <c r="AD227" s="425">
        <f>SUM(AZ110:AZ226)</f>
        <v>0</v>
      </c>
      <c r="AE227" s="425"/>
      <c r="AF227" s="425">
        <f>SUM(BA110:BA226)</f>
        <v>1681104</v>
      </c>
      <c r="AG227" s="425"/>
      <c r="AH227" s="425">
        <f>SUM(BB110:BB226)</f>
        <v>810715</v>
      </c>
      <c r="AI227" s="425"/>
      <c r="AJ227" s="425">
        <f>SUM(BC110:BC226)</f>
        <v>805576.5</v>
      </c>
      <c r="AK227" s="425"/>
      <c r="AL227" s="426">
        <f>SUM(BD110:BD226)</f>
        <v>1616291.5</v>
      </c>
      <c r="AM227" s="425"/>
      <c r="AN227" s="425">
        <f>SUM(BE110:BE226)</f>
        <v>0</v>
      </c>
      <c r="AO227" s="425"/>
      <c r="AP227" s="425">
        <f>SUM(BF110:BF226)</f>
        <v>1677666</v>
      </c>
      <c r="AQ227" s="308"/>
      <c r="AR227" s="308"/>
      <c r="AS227" s="403"/>
    </row>
    <row r="228" spans="1:45" ht="27" hidden="1">
      <c r="B228" s="271" t="s">
        <v>31</v>
      </c>
      <c r="E228" s="427" t="s">
        <v>438</v>
      </c>
      <c r="N228" s="274"/>
      <c r="P228" s="283"/>
      <c r="R228" s="308"/>
      <c r="S228" s="308"/>
      <c r="T228" s="308"/>
      <c r="U228" s="308"/>
      <c r="V228" s="308"/>
      <c r="W228" s="308"/>
      <c r="X228" s="308"/>
      <c r="Y228" s="308"/>
      <c r="Z228" s="308"/>
      <c r="AA228" s="308"/>
      <c r="AB228" s="402"/>
      <c r="AC228" s="402"/>
      <c r="AD228" s="402"/>
      <c r="AE228" s="402"/>
      <c r="AF228" s="402"/>
      <c r="AG228" s="402"/>
      <c r="AH228" s="402">
        <f>$Z$298+$Z$299+$Z$300+$Z$301</f>
        <v>0</v>
      </c>
      <c r="AI228" s="402"/>
      <c r="AJ228" s="402"/>
      <c r="AK228" s="402"/>
      <c r="AL228" s="410"/>
      <c r="AM228" s="402"/>
      <c r="AN228" s="402"/>
      <c r="AO228" s="383"/>
      <c r="AP228" s="402"/>
      <c r="AQ228" s="308"/>
      <c r="AR228" s="308"/>
      <c r="AS228" s="403"/>
    </row>
    <row r="229" spans="1:45" ht="15" hidden="1" customHeight="1">
      <c r="B229" s="271" t="str">
        <f>IF(AQ232=0,"Hide","Show")</f>
        <v>Hide</v>
      </c>
      <c r="L229" s="275"/>
      <c r="M229" s="275"/>
      <c r="N229" s="274"/>
      <c r="O229" s="280"/>
      <c r="P229" s="283"/>
      <c r="R229" s="414" t="s">
        <v>439</v>
      </c>
      <c r="S229" s="308"/>
      <c r="T229" s="308"/>
      <c r="U229" s="308"/>
      <c r="V229" s="308"/>
      <c r="W229" s="308"/>
      <c r="X229" s="308"/>
      <c r="Y229" s="308"/>
      <c r="Z229" s="308"/>
      <c r="AA229" s="308"/>
      <c r="AB229" s="402"/>
      <c r="AC229" s="402"/>
      <c r="AD229" s="402"/>
      <c r="AE229" s="402"/>
      <c r="AF229" s="402"/>
      <c r="AG229" s="402"/>
      <c r="AH229" s="402"/>
      <c r="AI229" s="402"/>
      <c r="AJ229" s="402"/>
      <c r="AK229" s="402"/>
      <c r="AL229" s="411"/>
      <c r="AM229" s="402"/>
      <c r="AN229" s="402"/>
      <c r="AO229" s="383"/>
      <c r="AP229" s="402"/>
      <c r="AQ229" s="308"/>
      <c r="AR229" s="308"/>
      <c r="AS229" s="403"/>
    </row>
    <row r="230" spans="1:45" ht="15.6" hidden="1" customHeight="1">
      <c r="A230" s="271" t="s">
        <v>236</v>
      </c>
      <c r="B230" s="271" t="str">
        <f>IF(AQ230=0,"Hide","Show")</f>
        <v>Hide</v>
      </c>
      <c r="K230" s="337"/>
      <c r="L230" s="275" t="str">
        <f>$F$22</f>
        <v>001</v>
      </c>
      <c r="M230" s="275" t="str">
        <f>$J$7</f>
        <v>10/1/2016..9/30/2017</v>
      </c>
      <c r="N230" s="274" t="str">
        <f>$D$6</f>
        <v>HARMONY CDD</v>
      </c>
      <c r="O230" s="387" t="str">
        <f>IF(K230="","565999",K230)</f>
        <v>565999</v>
      </c>
      <c r="P230" s="283">
        <f>K230</f>
        <v>0</v>
      </c>
      <c r="R230" s="389"/>
      <c r="S230" s="308"/>
      <c r="T230" s="428">
        <v>0</v>
      </c>
      <c r="U230" s="401"/>
      <c r="V230" s="428">
        <v>0</v>
      </c>
      <c r="W230" s="349"/>
      <c r="X230" s="428">
        <v>0</v>
      </c>
      <c r="Y230" s="349"/>
      <c r="Z230" s="428">
        <v>0</v>
      </c>
      <c r="AA230" s="349"/>
      <c r="AB230" s="354">
        <v>0</v>
      </c>
      <c r="AC230" s="351"/>
      <c r="AD230" s="354">
        <v>0</v>
      </c>
      <c r="AE230" s="354"/>
      <c r="AF230" s="354">
        <v>0</v>
      </c>
      <c r="AG230" s="354"/>
      <c r="AH230" s="354">
        <v>0</v>
      </c>
      <c r="AI230" s="354"/>
      <c r="AJ230" s="391">
        <v>0</v>
      </c>
      <c r="AK230" s="354"/>
      <c r="AL230" s="415">
        <f>IF(ISERROR(AH230+AJ230),0,(AH230+AJ230))</f>
        <v>0</v>
      </c>
      <c r="AM230" s="354"/>
      <c r="AN230" s="354">
        <v>0</v>
      </c>
      <c r="AO230" s="354"/>
      <c r="AP230" s="391">
        <f>IF($F$13="YES",AF230,AN230)</f>
        <v>0</v>
      </c>
      <c r="AQ230" s="344">
        <f>ABS(SUMIF(V230:AP230,"&gt;0")-SUMIF(V230:AP230,"&lt;0"))</f>
        <v>0</v>
      </c>
      <c r="AR230" s="308"/>
      <c r="AS230" s="345"/>
    </row>
    <row r="231" spans="1:45" ht="3.95" hidden="1" customHeight="1">
      <c r="B231" s="274" t="s">
        <v>31</v>
      </c>
      <c r="N231" s="274"/>
      <c r="P231" s="283"/>
      <c r="R231" s="308"/>
      <c r="S231" s="308"/>
      <c r="T231" s="401"/>
      <c r="U231" s="308"/>
      <c r="V231" s="401"/>
      <c r="W231" s="308"/>
      <c r="X231" s="401"/>
      <c r="Y231" s="308"/>
      <c r="Z231" s="401"/>
      <c r="AA231" s="308"/>
      <c r="AB231" s="383"/>
      <c r="AC231" s="402"/>
      <c r="AD231" s="383"/>
      <c r="AE231" s="402"/>
      <c r="AF231" s="383"/>
      <c r="AG231" s="402"/>
      <c r="AH231" s="383"/>
      <c r="AI231" s="402"/>
      <c r="AJ231" s="383"/>
      <c r="AK231" s="402"/>
      <c r="AL231" s="416"/>
      <c r="AM231" s="402"/>
      <c r="AN231" s="383"/>
      <c r="AO231" s="383"/>
      <c r="AP231" s="383"/>
      <c r="AQ231" s="308"/>
      <c r="AR231" s="308"/>
      <c r="AS231" s="403"/>
    </row>
    <row r="232" spans="1:45" ht="15" hidden="1" customHeight="1">
      <c r="B232" s="271" t="str">
        <f>IF(AQ232=0,"Hide","Show")</f>
        <v>Hide</v>
      </c>
      <c r="N232" s="274"/>
      <c r="P232" s="283"/>
      <c r="R232" s="417" t="s">
        <v>440</v>
      </c>
      <c r="S232" s="308"/>
      <c r="T232" s="393">
        <f>SUM(T230:T231)</f>
        <v>0</v>
      </c>
      <c r="U232" s="322"/>
      <c r="V232" s="393">
        <f>SUM(V230:V231)</f>
        <v>0</v>
      </c>
      <c r="W232" s="404"/>
      <c r="X232" s="393">
        <f>SUM(X230:X231)</f>
        <v>0</v>
      </c>
      <c r="Y232" s="404"/>
      <c r="Z232" s="393">
        <f>SUM(Z230:Z231)</f>
        <v>0</v>
      </c>
      <c r="AA232" s="404"/>
      <c r="AB232" s="394">
        <f>SUM(AB230:AB231)</f>
        <v>0</v>
      </c>
      <c r="AC232" s="405"/>
      <c r="AD232" s="394">
        <f>SUM(AD230:AD231)</f>
        <v>0</v>
      </c>
      <c r="AE232" s="386"/>
      <c r="AF232" s="394">
        <f>SUM(AF230:AF231)</f>
        <v>0</v>
      </c>
      <c r="AG232" s="405"/>
      <c r="AH232" s="394">
        <f>SUM(AH230:AH231)</f>
        <v>0</v>
      </c>
      <c r="AI232" s="405"/>
      <c r="AJ232" s="394">
        <f>SUM(AJ230:AJ231)</f>
        <v>0</v>
      </c>
      <c r="AK232" s="405"/>
      <c r="AL232" s="418">
        <f>SUM(AL230:AL231)</f>
        <v>0</v>
      </c>
      <c r="AM232" s="405"/>
      <c r="AN232" s="394">
        <f>SUM(AN230:AN231)</f>
        <v>0</v>
      </c>
      <c r="AO232" s="405"/>
      <c r="AP232" s="394">
        <f>SUM(AP230:AP231)</f>
        <v>0</v>
      </c>
      <c r="AQ232" s="344">
        <f>ABS(SUMIF(V232:AP232,"&gt;0")-SUMIF(V232:AP232,"&lt;0"))</f>
        <v>0</v>
      </c>
      <c r="AR232" s="308"/>
      <c r="AS232" s="403"/>
    </row>
    <row r="233" spans="1:45" ht="9.9499999999999993" hidden="1" customHeight="1">
      <c r="B233" s="271" t="str">
        <f>B232</f>
        <v>Hide</v>
      </c>
      <c r="E233" s="336" t="str">
        <f>IF($F$22=0,0,IF(OR($F$14="No",VALUE($F$22)&lt;=399,VALUE($F$22)&gt;499),"500000..564999|566000..579999","500000..552016|552028..552039|552046..564999|566000..579999"))</f>
        <v>500000..564999|566000..579999</v>
      </c>
      <c r="F233" s="300"/>
      <c r="H233" s="429" t="s">
        <v>441</v>
      </c>
      <c r="N233" s="274"/>
      <c r="P233" s="283"/>
      <c r="R233" s="308"/>
      <c r="S233" s="308"/>
      <c r="T233" s="308"/>
      <c r="U233" s="308"/>
      <c r="V233" s="308"/>
      <c r="W233" s="308"/>
      <c r="X233" s="308"/>
      <c r="Y233" s="308"/>
      <c r="Z233" s="308"/>
      <c r="AA233" s="308"/>
      <c r="AB233" s="402"/>
      <c r="AC233" s="402"/>
      <c r="AD233" s="402"/>
      <c r="AE233" s="402"/>
      <c r="AF233" s="402"/>
      <c r="AG233" s="402"/>
      <c r="AH233" s="402"/>
      <c r="AI233" s="402"/>
      <c r="AJ233" s="402"/>
      <c r="AK233" s="402"/>
      <c r="AL233" s="411"/>
      <c r="AM233" s="402"/>
      <c r="AN233" s="402"/>
      <c r="AO233" s="383"/>
      <c r="AP233" s="402"/>
      <c r="AQ233" s="308"/>
      <c r="AR233" s="308"/>
      <c r="AS233" s="403"/>
    </row>
    <row r="234" spans="1:45" ht="15" hidden="1" customHeight="1">
      <c r="B234" s="271" t="str">
        <f>IF(AQ237=0,"Hide","Show")</f>
        <v>Hide</v>
      </c>
      <c r="N234" s="274"/>
      <c r="P234" s="283"/>
      <c r="R234" s="414" t="s">
        <v>166</v>
      </c>
      <c r="S234" s="308"/>
      <c r="T234" s="308"/>
      <c r="U234" s="308"/>
      <c r="V234" s="308"/>
      <c r="W234" s="308"/>
      <c r="X234" s="308"/>
      <c r="Y234" s="308"/>
      <c r="Z234" s="308"/>
      <c r="AA234" s="308"/>
      <c r="AB234" s="402"/>
      <c r="AC234" s="402"/>
      <c r="AD234" s="402"/>
      <c r="AE234" s="402"/>
      <c r="AF234" s="402"/>
      <c r="AG234" s="402"/>
      <c r="AH234" s="402"/>
      <c r="AI234" s="402"/>
      <c r="AJ234" s="402"/>
      <c r="AK234" s="402"/>
      <c r="AL234" s="411"/>
      <c r="AM234" s="402"/>
      <c r="AN234" s="402"/>
      <c r="AO234" s="383"/>
      <c r="AP234" s="402"/>
      <c r="AQ234" s="308"/>
      <c r="AR234" s="308"/>
      <c r="AS234" s="403"/>
    </row>
    <row r="235" spans="1:45" ht="15.6" hidden="1" customHeight="1">
      <c r="A235" s="271" t="s">
        <v>236</v>
      </c>
      <c r="B235" s="271" t="str">
        <f>IF(AQ235=0,"Hide","Show")</f>
        <v>Hide</v>
      </c>
      <c r="K235" s="337" t="s">
        <v>442</v>
      </c>
      <c r="L235" s="275" t="str">
        <f>$F$22</f>
        <v>001</v>
      </c>
      <c r="M235" s="275" t="str">
        <f>$J$7</f>
        <v>10/1/2016..9/30/2017</v>
      </c>
      <c r="N235" s="274" t="str">
        <f>$D$6</f>
        <v>HARMONY CDD</v>
      </c>
      <c r="O235" s="387" t="str">
        <f>IF(K235="","500000 51799",K235&amp;" "&amp;"51799")</f>
        <v>572001 51799</v>
      </c>
      <c r="P235" s="283" t="str">
        <f>K235</f>
        <v>572001</v>
      </c>
      <c r="R235" s="389" t="s">
        <v>443</v>
      </c>
      <c r="S235" s="308"/>
      <c r="T235" s="428">
        <v>0</v>
      </c>
      <c r="U235" s="401"/>
      <c r="V235" s="428">
        <v>0</v>
      </c>
      <c r="W235" s="349"/>
      <c r="X235" s="428">
        <v>0</v>
      </c>
      <c r="Y235" s="349"/>
      <c r="Z235" s="428">
        <v>0</v>
      </c>
      <c r="AA235" s="349"/>
      <c r="AB235" s="354">
        <v>0</v>
      </c>
      <c r="AC235" s="351"/>
      <c r="AD235" s="354">
        <v>0</v>
      </c>
      <c r="AE235" s="354"/>
      <c r="AF235" s="354">
        <v>0</v>
      </c>
      <c r="AG235" s="354"/>
      <c r="AH235" s="354">
        <v>0</v>
      </c>
      <c r="AI235" s="354"/>
      <c r="AJ235" s="391">
        <v>0</v>
      </c>
      <c r="AK235" s="354"/>
      <c r="AL235" s="415">
        <f>IF(ISERROR(AH235+AJ235),0,(AH235+AJ235))</f>
        <v>0</v>
      </c>
      <c r="AM235" s="354"/>
      <c r="AN235" s="354">
        <v>0</v>
      </c>
      <c r="AO235" s="354"/>
      <c r="AP235" s="391">
        <f>IF($F$13="YES",AF235,AN235)</f>
        <v>0</v>
      </c>
      <c r="AQ235" s="344">
        <f>ABS(SUMIF(V235:AP235,"&gt;0")-SUMIF(V235:AP235,"&lt;0"))</f>
        <v>0</v>
      </c>
      <c r="AR235" s="308"/>
      <c r="AS235" s="345"/>
    </row>
    <row r="236" spans="1:45" ht="3.95" hidden="1" customHeight="1">
      <c r="B236" s="274" t="s">
        <v>31</v>
      </c>
      <c r="N236" s="274"/>
      <c r="P236" s="283"/>
      <c r="R236" s="308"/>
      <c r="S236" s="308"/>
      <c r="T236" s="401"/>
      <c r="U236" s="308"/>
      <c r="V236" s="401"/>
      <c r="W236" s="308"/>
      <c r="X236" s="401"/>
      <c r="Y236" s="308"/>
      <c r="Z236" s="401"/>
      <c r="AA236" s="308"/>
      <c r="AB236" s="383"/>
      <c r="AC236" s="402"/>
      <c r="AD236" s="383"/>
      <c r="AE236" s="402"/>
      <c r="AF236" s="383"/>
      <c r="AG236" s="402"/>
      <c r="AH236" s="383"/>
      <c r="AI236" s="402"/>
      <c r="AJ236" s="383"/>
      <c r="AK236" s="402"/>
      <c r="AL236" s="416"/>
      <c r="AM236" s="402"/>
      <c r="AN236" s="383"/>
      <c r="AO236" s="383"/>
      <c r="AP236" s="383"/>
      <c r="AQ236" s="308"/>
      <c r="AR236" s="308"/>
      <c r="AS236" s="403"/>
    </row>
    <row r="237" spans="1:45" ht="15" hidden="1" customHeight="1">
      <c r="B237" s="271" t="str">
        <f>IF(AQ237=0,"Hide","Show")</f>
        <v>Hide</v>
      </c>
      <c r="N237" s="274"/>
      <c r="P237" s="283"/>
      <c r="R237" s="430" t="s">
        <v>444</v>
      </c>
      <c r="S237" s="308"/>
      <c r="T237" s="393">
        <f>SUM(T235:T236)</f>
        <v>0</v>
      </c>
      <c r="U237" s="322"/>
      <c r="V237" s="393">
        <f>SUM(V235:V236)</f>
        <v>0</v>
      </c>
      <c r="W237" s="404"/>
      <c r="X237" s="393">
        <f>SUM(X235:X236)</f>
        <v>0</v>
      </c>
      <c r="Y237" s="404"/>
      <c r="Z237" s="393">
        <f>SUM(Z235:Z236)</f>
        <v>0</v>
      </c>
      <c r="AA237" s="404"/>
      <c r="AB237" s="394">
        <f>SUM(AB235:AB236)</f>
        <v>0</v>
      </c>
      <c r="AC237" s="405"/>
      <c r="AD237" s="394">
        <f>SUM(AD235:AD236)</f>
        <v>0</v>
      </c>
      <c r="AE237" s="386"/>
      <c r="AF237" s="394">
        <f>SUM(AF235:AF236)</f>
        <v>0</v>
      </c>
      <c r="AG237" s="405"/>
      <c r="AH237" s="394">
        <f>SUM(AH235:AH236)</f>
        <v>0</v>
      </c>
      <c r="AI237" s="405"/>
      <c r="AJ237" s="394">
        <f>SUM(AJ235:AJ236)</f>
        <v>0</v>
      </c>
      <c r="AK237" s="405"/>
      <c r="AL237" s="418">
        <f>SUM(AL235:AL236)</f>
        <v>0</v>
      </c>
      <c r="AM237" s="405"/>
      <c r="AN237" s="394">
        <f>SUM(AN235:AN236)</f>
        <v>0</v>
      </c>
      <c r="AO237" s="405"/>
      <c r="AP237" s="394">
        <f>SUM(AP235:AP236)</f>
        <v>0</v>
      </c>
      <c r="AQ237" s="344">
        <f>ABS(SUMIF(V237:AP237,"&gt;0")-SUMIF(V237:AP237,"&lt;0"))</f>
        <v>0</v>
      </c>
      <c r="AR237" s="308"/>
      <c r="AS237" s="403"/>
    </row>
    <row r="238" spans="1:45" ht="9.9499999999999993" hidden="1" customHeight="1">
      <c r="B238" s="271" t="str">
        <f>B237</f>
        <v>Hide</v>
      </c>
      <c r="N238" s="274"/>
      <c r="P238" s="283"/>
      <c r="R238" s="308"/>
      <c r="S238" s="308"/>
      <c r="T238" s="308"/>
      <c r="U238" s="308"/>
      <c r="V238" s="308"/>
      <c r="W238" s="308"/>
      <c r="X238" s="308"/>
      <c r="Y238" s="308"/>
      <c r="Z238" s="308"/>
      <c r="AA238" s="308"/>
      <c r="AB238" s="402"/>
      <c r="AC238" s="402"/>
      <c r="AD238" s="402"/>
      <c r="AE238" s="402"/>
      <c r="AF238" s="402"/>
      <c r="AG238" s="402"/>
      <c r="AH238" s="402"/>
      <c r="AI238" s="402"/>
      <c r="AJ238" s="402"/>
      <c r="AK238" s="402"/>
      <c r="AL238" s="411"/>
      <c r="AM238" s="402"/>
      <c r="AN238" s="402"/>
      <c r="AO238" s="383"/>
      <c r="AP238" s="402"/>
      <c r="AQ238" s="308"/>
      <c r="AR238" s="308"/>
      <c r="AS238" s="403"/>
    </row>
    <row r="239" spans="1:45" ht="15" hidden="1" customHeight="1">
      <c r="B239" s="271" t="str">
        <f>IF(AQ239=0,"Hide","Show")</f>
        <v>Hide</v>
      </c>
      <c r="N239" s="274"/>
      <c r="P239" s="283"/>
      <c r="R239" s="368" t="str">
        <f>IF(AND($F$22&gt;"399",$F$22&lt;"500"),"TOTAL OPERATING EXPENSES","TOTAL EXPENDITURES")</f>
        <v>TOTAL EXPENDITURES</v>
      </c>
      <c r="S239" s="431"/>
      <c r="T239" s="370">
        <f>IF($F$6="no",0,SUM(T237+T232+T227+T103))</f>
        <v>0</v>
      </c>
      <c r="U239" s="431"/>
      <c r="V239" s="370">
        <f>IF($F$6="no",0,SUM(V237+V232+V227+V103))</f>
        <v>0</v>
      </c>
      <c r="W239" s="431"/>
      <c r="X239" s="370">
        <f>IF($F$6="no",0,SUM(X237+X232+X227+X103))</f>
        <v>0</v>
      </c>
      <c r="Y239" s="431"/>
      <c r="Z239" s="370">
        <f>IF($F$6="no",0,SUM(Z237+Z232+Z227+Z103))</f>
        <v>0</v>
      </c>
      <c r="AA239" s="431"/>
      <c r="AB239" s="372">
        <f>IF($F$6="no",0,SUM(AB237+AB232+AB227+AB103))</f>
        <v>0</v>
      </c>
      <c r="AC239" s="374"/>
      <c r="AD239" s="372">
        <f>IF($F$6="no",0,SUM(AD237+AD232+AD227+AD103))</f>
        <v>0</v>
      </c>
      <c r="AE239" s="374"/>
      <c r="AF239" s="372">
        <f>IF($F$6="no",0,SUM(AF237+AF232+AF227+AF103))</f>
        <v>0</v>
      </c>
      <c r="AG239" s="374"/>
      <c r="AH239" s="372">
        <f>IF($F$6="no",0,SUM(AH237+AH232+AH227+AH103))</f>
        <v>0</v>
      </c>
      <c r="AI239" s="374"/>
      <c r="AJ239" s="372">
        <f>IF($F$6="no",0,SUM(AJ237+AJ232+AJ227+AJ103))</f>
        <v>0</v>
      </c>
      <c r="AK239" s="374"/>
      <c r="AL239" s="432">
        <f>IF($F$6="no",0,SUM(AL237+AL232+AL227+AL103))</f>
        <v>0</v>
      </c>
      <c r="AM239" s="374"/>
      <c r="AN239" s="372">
        <f>IF($F$6="no",0,SUM(AN237+AN232+AN227+AN103))</f>
        <v>0</v>
      </c>
      <c r="AO239" s="372"/>
      <c r="AP239" s="375">
        <f>IF($F$6="no",0,SUM(AP237+AP232+AP227+AP103))</f>
        <v>0</v>
      </c>
      <c r="AQ239" s="344">
        <f>ABS(SUMIF(V239:AP239,"&gt;0")-SUMIF(V239:AP239,"&lt;0"))</f>
        <v>0</v>
      </c>
      <c r="AR239" s="308"/>
      <c r="AS239" s="403"/>
    </row>
    <row r="240" spans="1:45" ht="9.9499999999999993" hidden="1" customHeight="1">
      <c r="B240" s="271" t="str">
        <f>B239</f>
        <v>Hide</v>
      </c>
      <c r="E240" s="336" t="str">
        <f>IF($F$22=0,0,IF(OR($F$14="No",VALUE($F$22)&lt;=399,VALUE($F$22)&gt;499),"500000..564999|566000..579999","500000..552016|552028..552039|552046..564999|566000..579999"))</f>
        <v>500000..564999|566000..579999</v>
      </c>
      <c r="F240" s="300"/>
      <c r="H240" s="433">
        <v>58100</v>
      </c>
      <c r="N240" s="274"/>
      <c r="P240" s="283"/>
      <c r="R240" s="308"/>
      <c r="S240" s="308"/>
      <c r="T240" s="308"/>
      <c r="U240" s="308"/>
      <c r="V240" s="308"/>
      <c r="W240" s="308"/>
      <c r="X240" s="308"/>
      <c r="Y240" s="308"/>
      <c r="Z240" s="308"/>
      <c r="AA240" s="308"/>
      <c r="AB240" s="402"/>
      <c r="AC240" s="402"/>
      <c r="AD240" s="402"/>
      <c r="AE240" s="402"/>
      <c r="AF240" s="402"/>
      <c r="AG240" s="402"/>
      <c r="AH240" s="402"/>
      <c r="AI240" s="402"/>
      <c r="AJ240" s="402"/>
      <c r="AK240" s="402"/>
      <c r="AL240" s="411"/>
      <c r="AM240" s="402"/>
      <c r="AN240" s="402"/>
      <c r="AO240" s="383"/>
      <c r="AP240" s="402"/>
      <c r="AQ240" s="308"/>
      <c r="AR240" s="308"/>
      <c r="AS240" s="403"/>
    </row>
    <row r="241" spans="1:45" ht="15" hidden="1" customHeight="1">
      <c r="B241" s="271" t="str">
        <f>IF(AQ244=0,"Hide","Show")</f>
        <v>Hide</v>
      </c>
      <c r="N241" s="274"/>
      <c r="P241" s="283"/>
      <c r="R241" s="414" t="s">
        <v>445</v>
      </c>
      <c r="S241" s="308"/>
      <c r="T241" s="308"/>
      <c r="U241" s="308"/>
      <c r="V241" s="308"/>
      <c r="W241" s="308"/>
      <c r="X241" s="308"/>
      <c r="Y241" s="308"/>
      <c r="Z241" s="308"/>
      <c r="AA241" s="308"/>
      <c r="AB241" s="402"/>
      <c r="AC241" s="402"/>
      <c r="AD241" s="402"/>
      <c r="AE241" s="402"/>
      <c r="AF241" s="402"/>
      <c r="AG241" s="402"/>
      <c r="AH241" s="402"/>
      <c r="AI241" s="402"/>
      <c r="AJ241" s="402"/>
      <c r="AK241" s="402"/>
      <c r="AL241" s="411"/>
      <c r="AM241" s="402"/>
      <c r="AN241" s="402"/>
      <c r="AO241" s="383"/>
      <c r="AP241" s="402"/>
      <c r="AQ241" s="344"/>
      <c r="AR241" s="308"/>
      <c r="AS241" s="403"/>
    </row>
    <row r="242" spans="1:45" ht="15.6" hidden="1" customHeight="1">
      <c r="A242" s="271" t="s">
        <v>236</v>
      </c>
      <c r="B242" s="271" t="str">
        <f>IF(AQ242=0,"Hide","Show")</f>
        <v>Hide</v>
      </c>
      <c r="K242" s="337" t="s">
        <v>446</v>
      </c>
      <c r="L242" s="275" t="str">
        <f>$F$22</f>
        <v>001</v>
      </c>
      <c r="M242" s="275" t="str">
        <f>$J$7</f>
        <v>10/1/2016..9/30/2017</v>
      </c>
      <c r="N242" s="274" t="str">
        <f>$D$6</f>
        <v>HARMONY CDD</v>
      </c>
      <c r="O242" s="387" t="str">
        <f>IF(K242="","500000 58100",K242&amp;" "&amp;"58100")</f>
        <v>568130 58100</v>
      </c>
      <c r="P242" s="283" t="str">
        <f>K242</f>
        <v>568130</v>
      </c>
      <c r="R242" s="389" t="s">
        <v>447</v>
      </c>
      <c r="S242" s="308"/>
      <c r="T242" s="428">
        <v>0</v>
      </c>
      <c r="U242" s="401"/>
      <c r="V242" s="428">
        <v>0</v>
      </c>
      <c r="W242" s="349"/>
      <c r="X242" s="428">
        <v>0</v>
      </c>
      <c r="Y242" s="349"/>
      <c r="Z242" s="428">
        <v>0</v>
      </c>
      <c r="AA242" s="349"/>
      <c r="AB242" s="354">
        <v>0</v>
      </c>
      <c r="AC242" s="351"/>
      <c r="AD242" s="354">
        <v>0</v>
      </c>
      <c r="AE242" s="354"/>
      <c r="AF242" s="354">
        <v>0</v>
      </c>
      <c r="AG242" s="354"/>
      <c r="AH242" s="354">
        <v>0</v>
      </c>
      <c r="AI242" s="354"/>
      <c r="AJ242" s="391">
        <v>0</v>
      </c>
      <c r="AK242" s="354"/>
      <c r="AL242" s="415">
        <f>IF(ISERROR(AH242+AJ242),0,(AH242+AJ242))</f>
        <v>0</v>
      </c>
      <c r="AM242" s="354"/>
      <c r="AN242" s="354">
        <v>0</v>
      </c>
      <c r="AO242" s="354"/>
      <c r="AP242" s="391">
        <f>IF($F$13="YES",AF242,AN242)</f>
        <v>0</v>
      </c>
      <c r="AQ242" s="344">
        <f>ABS(SUMIF(V242:AP242,"&gt;0")-SUMIF(V242:AP242,"&lt;0"))</f>
        <v>0</v>
      </c>
      <c r="AR242" s="308"/>
      <c r="AS242" s="345"/>
    </row>
    <row r="243" spans="1:45" ht="3.95" hidden="1" customHeight="1">
      <c r="B243" s="274" t="s">
        <v>31</v>
      </c>
      <c r="P243" s="283"/>
      <c r="R243" s="308"/>
      <c r="S243" s="308"/>
      <c r="T243" s="401"/>
      <c r="U243" s="308"/>
      <c r="V243" s="401"/>
      <c r="W243" s="308"/>
      <c r="X243" s="401"/>
      <c r="Y243" s="308"/>
      <c r="Z243" s="401"/>
      <c r="AA243" s="308"/>
      <c r="AB243" s="383"/>
      <c r="AC243" s="402"/>
      <c r="AD243" s="383"/>
      <c r="AE243" s="402"/>
      <c r="AF243" s="383"/>
      <c r="AG243" s="402"/>
      <c r="AH243" s="383"/>
      <c r="AI243" s="402"/>
      <c r="AJ243" s="383"/>
      <c r="AK243" s="402"/>
      <c r="AL243" s="416"/>
      <c r="AM243" s="402"/>
      <c r="AN243" s="383"/>
      <c r="AO243" s="383"/>
      <c r="AP243" s="383"/>
      <c r="AQ243" s="308"/>
      <c r="AR243" s="308"/>
      <c r="AS243" s="403"/>
    </row>
    <row r="244" spans="1:45" hidden="1">
      <c r="B244" s="271" t="str">
        <f>IF(AQ244=0,"Hide","Show")</f>
        <v>Hide</v>
      </c>
      <c r="P244" s="283"/>
      <c r="R244" s="417" t="s">
        <v>448</v>
      </c>
      <c r="S244" s="322"/>
      <c r="T244" s="393">
        <f>SUM(T242:T243)</f>
        <v>0</v>
      </c>
      <c r="U244" s="322"/>
      <c r="V244" s="393">
        <f>SUM(V242:V243)</f>
        <v>0</v>
      </c>
      <c r="W244" s="404"/>
      <c r="X244" s="393">
        <f>SUM(X242:X243)</f>
        <v>0</v>
      </c>
      <c r="Y244" s="404"/>
      <c r="Z244" s="393">
        <f>SUM(Z242:Z243)</f>
        <v>0</v>
      </c>
      <c r="AA244" s="404"/>
      <c r="AB244" s="394">
        <f>SUM(AB242:AB243)</f>
        <v>0</v>
      </c>
      <c r="AC244" s="405"/>
      <c r="AD244" s="394">
        <f>SUM(AD242:AD243)</f>
        <v>0</v>
      </c>
      <c r="AE244" s="386"/>
      <c r="AF244" s="394">
        <f>SUM(AF242:AF243)</f>
        <v>0</v>
      </c>
      <c r="AG244" s="405"/>
      <c r="AH244" s="394">
        <f>SUM(AH242:AH243)</f>
        <v>0</v>
      </c>
      <c r="AI244" s="405"/>
      <c r="AJ244" s="394">
        <f>SUM(AJ242:AJ243)</f>
        <v>0</v>
      </c>
      <c r="AK244" s="405"/>
      <c r="AL244" s="418">
        <f>SUM(AL242:AL243)</f>
        <v>0</v>
      </c>
      <c r="AM244" s="405"/>
      <c r="AN244" s="394">
        <f>SUM(AN242:AN243)</f>
        <v>0</v>
      </c>
      <c r="AO244" s="405"/>
      <c r="AP244" s="394">
        <f>SUM(AP242:AP243)</f>
        <v>0</v>
      </c>
      <c r="AQ244" s="344">
        <f>ABS(SUMIF(V244:AP244,"&gt;0")-SUMIF(V244:AP244,"&lt;0"))</f>
        <v>0</v>
      </c>
      <c r="AR244" s="308"/>
      <c r="AS244" s="434"/>
    </row>
    <row r="245" spans="1:45" ht="15.6" customHeight="1">
      <c r="P245" s="283"/>
      <c r="R245" s="407" t="s">
        <v>333</v>
      </c>
      <c r="S245" s="322"/>
      <c r="T245" s="435"/>
      <c r="U245" s="322"/>
      <c r="V245" s="435"/>
      <c r="W245" s="404"/>
      <c r="X245" s="435"/>
      <c r="Y245" s="404"/>
      <c r="Z245" s="435"/>
      <c r="AA245" s="404"/>
      <c r="AB245" s="405"/>
      <c r="AC245" s="405"/>
      <c r="AD245" s="405"/>
      <c r="AE245" s="386"/>
      <c r="AF245" s="405"/>
      <c r="AG245" s="405"/>
      <c r="AH245" s="405"/>
      <c r="AI245" s="405"/>
      <c r="AJ245" s="405"/>
      <c r="AK245" s="405"/>
      <c r="AL245" s="408">
        <f>AF206-AL206</f>
        <v>73729</v>
      </c>
      <c r="AM245" s="405"/>
      <c r="AN245" s="405"/>
      <c r="AO245" s="405"/>
      <c r="AP245" s="405"/>
      <c r="AQ245" s="344"/>
      <c r="AR245" s="308"/>
      <c r="AS245" s="409" t="s">
        <v>363</v>
      </c>
    </row>
    <row r="246" spans="1:45" ht="9.9499999999999993" customHeight="1">
      <c r="B246" s="271" t="str">
        <f>B244</f>
        <v>Hide</v>
      </c>
      <c r="P246" s="283"/>
      <c r="R246" s="308"/>
      <c r="S246" s="308"/>
      <c r="T246" s="308"/>
      <c r="U246" s="308"/>
      <c r="V246" s="308"/>
      <c r="W246" s="308"/>
      <c r="X246" s="308"/>
      <c r="Y246" s="308"/>
      <c r="Z246" s="308"/>
      <c r="AA246" s="308"/>
      <c r="AB246" s="402"/>
      <c r="AC246" s="402"/>
      <c r="AD246" s="402"/>
      <c r="AE246" s="402"/>
      <c r="AF246" s="402"/>
      <c r="AG246" s="402"/>
      <c r="AH246" s="402"/>
      <c r="AI246" s="402"/>
      <c r="AJ246" s="402"/>
      <c r="AK246" s="402"/>
      <c r="AL246" s="402"/>
      <c r="AM246" s="402"/>
      <c r="AN246" s="402"/>
      <c r="AO246" s="383"/>
      <c r="AP246" s="402"/>
      <c r="AQ246" s="308"/>
      <c r="AR246" s="308"/>
      <c r="AS246" s="434"/>
    </row>
    <row r="247" spans="1:45" ht="15" customHeight="1">
      <c r="B247" s="271" t="s">
        <v>62</v>
      </c>
      <c r="N247" s="436" t="str">
        <f>IF(AQ244=0,""," &amp; RESERVES")</f>
        <v/>
      </c>
      <c r="P247" s="283"/>
      <c r="R247" s="368" t="str">
        <f>TRIM(IF(AND($F$22&gt;"399",$F$22&lt;"500"),"TOTAL OPERATING EXPENSES"&amp;N247,"TOTAL EXPENDITURES"&amp;N247))</f>
        <v>TOTAL EXPENDITURES</v>
      </c>
      <c r="S247" s="431"/>
      <c r="T247" s="370">
        <f>SUM(T237+T232+T227+T103+T244)</f>
        <v>608935</v>
      </c>
      <c r="U247" s="431"/>
      <c r="V247" s="370">
        <f>SUM(V237+V232+V227+V103+V244)</f>
        <v>0</v>
      </c>
      <c r="W247" s="431"/>
      <c r="X247" s="370">
        <f>SUM(X237+X232+X227+X103+X244)</f>
        <v>0</v>
      </c>
      <c r="Y247" s="431"/>
      <c r="Z247" s="370">
        <f>SUM(Z237+Z232+Z227+Z103+Z244)</f>
        <v>0</v>
      </c>
      <c r="AA247" s="431"/>
      <c r="AB247" s="372">
        <f>SUM(AB237+AB232+AB227+AB103+AB244)</f>
        <v>2146319</v>
      </c>
      <c r="AC247" s="374"/>
      <c r="AD247" s="372">
        <f>SUM(AD237+AD232+AD227+AD103+AD244)</f>
        <v>0</v>
      </c>
      <c r="AE247" s="374"/>
      <c r="AF247" s="372">
        <f>SUM(AF237+AF232+AF227+AF103+AF244)</f>
        <v>1874115.62</v>
      </c>
      <c r="AG247" s="374"/>
      <c r="AH247" s="372">
        <f>SUM(AH237+AH232+AH227+AH103+AH244)</f>
        <v>959553</v>
      </c>
      <c r="AI247" s="374"/>
      <c r="AJ247" s="372">
        <f>SUM(AJ237+AJ232+AJ227+AJ103+AJ244)</f>
        <v>854738.9</v>
      </c>
      <c r="AK247" s="374"/>
      <c r="AL247" s="372">
        <f>SUM(AL237+AL232+AL227+AL103+AL244)</f>
        <v>1814291.9</v>
      </c>
      <c r="AM247" s="374"/>
      <c r="AN247" s="372">
        <f>SUM(AN237+AN232+AN227+AN103+AN244)</f>
        <v>0</v>
      </c>
      <c r="AO247" s="372"/>
      <c r="AP247" s="375">
        <f ca="1">SUM(AP103+AP129+AP154+AP166+AP206)</f>
        <v>1882797</v>
      </c>
      <c r="AQ247" s="344">
        <f ca="1">ABS(SUMIF(V247:AP247,"&gt;0")-SUMIF(V247:AP247,"&lt;0"))</f>
        <v>9531815.4199999999</v>
      </c>
      <c r="AR247" s="308"/>
      <c r="AS247" s="434"/>
    </row>
    <row r="248" spans="1:45" ht="15.6" customHeight="1">
      <c r="E248" s="271"/>
      <c r="F248" s="271"/>
      <c r="G248" s="271"/>
      <c r="H248" s="271"/>
      <c r="K248" s="437"/>
      <c r="L248" s="271"/>
      <c r="M248" s="271"/>
      <c r="N248" s="436"/>
      <c r="P248" s="280"/>
      <c r="R248" s="378" t="s">
        <v>333</v>
      </c>
      <c r="S248" s="330"/>
      <c r="T248" s="438"/>
      <c r="U248" s="330"/>
      <c r="V248" s="438"/>
      <c r="W248" s="330"/>
      <c r="X248" s="438"/>
      <c r="Y248" s="330"/>
      <c r="Z248" s="438"/>
      <c r="AA248" s="330"/>
      <c r="AB248" s="439"/>
      <c r="AC248" s="440"/>
      <c r="AD248" s="439"/>
      <c r="AE248" s="440"/>
      <c r="AF248" s="439"/>
      <c r="AG248" s="440"/>
      <c r="AH248" s="439"/>
      <c r="AI248" s="440"/>
      <c r="AJ248" s="439"/>
      <c r="AK248" s="440"/>
      <c r="AL248" s="384">
        <f>AF247-AL247</f>
        <v>59823.720000000205</v>
      </c>
      <c r="AM248" s="440"/>
      <c r="AN248" s="439"/>
      <c r="AO248" s="439"/>
      <c r="AP248" s="439"/>
      <c r="AQ248" s="441"/>
      <c r="AR248" s="308"/>
      <c r="AS248" s="385" t="s">
        <v>449</v>
      </c>
    </row>
    <row r="249" spans="1:45" ht="9.9499999999999993" customHeight="1">
      <c r="B249" s="271" t="s">
        <v>62</v>
      </c>
      <c r="P249" s="283"/>
      <c r="R249" s="308"/>
      <c r="S249" s="308"/>
      <c r="T249" s="308"/>
      <c r="U249" s="308"/>
      <c r="V249" s="308"/>
      <c r="W249" s="308"/>
      <c r="X249" s="308"/>
      <c r="Y249" s="308"/>
      <c r="Z249" s="308"/>
      <c r="AA249" s="308"/>
      <c r="AB249" s="402"/>
      <c r="AC249" s="402"/>
      <c r="AD249" s="402"/>
      <c r="AE249" s="402"/>
      <c r="AF249" s="402"/>
      <c r="AG249" s="402"/>
      <c r="AH249" s="402"/>
      <c r="AI249" s="402"/>
      <c r="AJ249" s="402"/>
      <c r="AK249" s="402"/>
      <c r="AL249" s="402"/>
      <c r="AM249" s="402"/>
      <c r="AN249" s="402"/>
      <c r="AO249" s="383"/>
      <c r="AP249" s="402"/>
      <c r="AQ249" s="308"/>
      <c r="AR249" s="308"/>
      <c r="AS249" s="434"/>
    </row>
    <row r="250" spans="1:45" ht="15.6" customHeight="1">
      <c r="B250" s="271" t="str">
        <f>IF(R250="","Hide","Show")</f>
        <v>Show</v>
      </c>
      <c r="E250" s="271"/>
      <c r="F250" s="271"/>
      <c r="G250" s="271"/>
      <c r="H250" s="271"/>
      <c r="K250" s="437"/>
      <c r="L250" s="271"/>
      <c r="M250" s="271"/>
      <c r="P250" s="280"/>
      <c r="R250" s="442" t="str">
        <f>IF(AND($F$22&gt;"399",$F$22&lt;"500"),"","Excess (deficiency) of revenues")</f>
        <v>Excess (deficiency) of revenues</v>
      </c>
      <c r="S250" s="308"/>
      <c r="T250" s="308"/>
      <c r="U250" s="308"/>
      <c r="AB250" s="443">
        <f>ROUND(SUM(AB64-AB247-AB70),0)</f>
        <v>-374482</v>
      </c>
      <c r="AC250" s="444"/>
      <c r="AD250" s="444"/>
      <c r="AE250" s="444"/>
      <c r="AF250" s="444">
        <f>ROUND(SUM(AF64-AF247-AF70),0)</f>
        <v>0</v>
      </c>
      <c r="AG250" s="444"/>
      <c r="AH250" s="444">
        <f>ROUND(SUM(AH64-AH247-AH70),0)</f>
        <v>648697</v>
      </c>
      <c r="AI250" s="444"/>
      <c r="AJ250" s="444">
        <f>ROUND(SUM(AJ64-AJ247-AJ70),0)</f>
        <v>-555702</v>
      </c>
      <c r="AK250" s="444"/>
      <c r="AL250" s="444">
        <f>ROUND(SUM(AL64-AL247-AL70),0)</f>
        <v>92995</v>
      </c>
      <c r="AM250" s="444"/>
      <c r="AN250" s="444"/>
      <c r="AO250" s="444"/>
      <c r="AP250" s="445">
        <f ca="1">ROUND(SUM(AP64-AP247-AP70),0)</f>
        <v>0</v>
      </c>
      <c r="AR250" s="308"/>
      <c r="AS250" s="446" t="s">
        <v>450</v>
      </c>
    </row>
    <row r="251" spans="1:45" ht="15" hidden="1" customHeight="1">
      <c r="B251" s="271" t="s">
        <v>62</v>
      </c>
      <c r="E251" s="271"/>
      <c r="F251" s="271"/>
      <c r="G251" s="271"/>
      <c r="H251" s="271"/>
      <c r="K251" s="437"/>
      <c r="L251" s="271"/>
      <c r="M251" s="271"/>
      <c r="P251" s="280"/>
      <c r="R251" s="447" t="str">
        <f>IF(AND($F$22&gt;"399",$F$22&lt;"500"),"Operating income (loss)","Over (under) expenditures")</f>
        <v>Over (under) expenditures</v>
      </c>
      <c r="S251" s="308"/>
      <c r="T251" s="448">
        <f>SUM(T64-T247-T70)</f>
        <v>581826</v>
      </c>
      <c r="U251" s="308"/>
      <c r="V251" s="449">
        <f>SUM(V64-V247-V70)</f>
        <v>0</v>
      </c>
      <c r="W251" s="450"/>
      <c r="X251" s="449">
        <f>SUM(X64-X247-X70)</f>
        <v>0</v>
      </c>
      <c r="Y251" s="450"/>
      <c r="Z251" s="449">
        <f>SUM(Z64-Z247-Z70)</f>
        <v>0</v>
      </c>
      <c r="AA251" s="450"/>
      <c r="AB251" s="451">
        <f>ROUND(SUM(AB64-AB247-AB70),0)</f>
        <v>-374482</v>
      </c>
      <c r="AC251" s="452"/>
      <c r="AD251" s="451">
        <f>SUM(AD64-AD247-AD70)</f>
        <v>0</v>
      </c>
      <c r="AE251" s="452"/>
      <c r="AF251" s="451">
        <f>ROUND(SUM(AF64-AF247-AF70),0)</f>
        <v>0</v>
      </c>
      <c r="AG251" s="452"/>
      <c r="AH251" s="451">
        <f>ROUND(SUM(AH64-AH247-AH70),0)</f>
        <v>648697</v>
      </c>
      <c r="AI251" s="452"/>
      <c r="AJ251" s="451">
        <f>ROUND(SUM(AJ64-AJ247-AJ70),0)</f>
        <v>-555702</v>
      </c>
      <c r="AK251" s="452"/>
      <c r="AL251" s="451">
        <f>ROUND(SUM(AL64-AL247-AL70),0)</f>
        <v>92995</v>
      </c>
      <c r="AM251" s="452"/>
      <c r="AN251" s="451">
        <f>SUM(AN64-AN247-AN70)</f>
        <v>0</v>
      </c>
      <c r="AO251" s="452"/>
      <c r="AP251" s="451">
        <f ca="1">ROUND(SUM(AP64-AP247-AP70),0)</f>
        <v>0</v>
      </c>
      <c r="AQ251" s="71">
        <f ca="1">ABS(SUMIF(V251:AP251,"&gt;0")-SUMIF(V251:AP251,"&lt;0"))</f>
        <v>1671876</v>
      </c>
      <c r="AR251" s="308"/>
      <c r="AS251" s="453"/>
    </row>
    <row r="252" spans="1:45" ht="9.9499999999999993" customHeight="1">
      <c r="B252" s="271" t="s">
        <v>62</v>
      </c>
      <c r="P252" s="283"/>
      <c r="R252" s="308"/>
      <c r="S252" s="308"/>
      <c r="T252" s="308"/>
      <c r="U252" s="308"/>
      <c r="V252" s="308"/>
      <c r="W252" s="308"/>
      <c r="X252" s="308"/>
      <c r="Y252" s="308"/>
      <c r="Z252" s="308"/>
      <c r="AA252" s="308"/>
      <c r="AB252" s="402"/>
      <c r="AC252" s="402"/>
      <c r="AD252" s="402"/>
      <c r="AE252" s="402"/>
      <c r="AF252" s="402"/>
      <c r="AG252" s="402"/>
      <c r="AH252" s="402"/>
      <c r="AI252" s="402"/>
      <c r="AJ252" s="402"/>
      <c r="AK252" s="402"/>
      <c r="AL252" s="402"/>
      <c r="AM252" s="402"/>
      <c r="AN252" s="402"/>
      <c r="AO252" s="383"/>
      <c r="AP252" s="402"/>
      <c r="AQ252" s="308"/>
      <c r="AR252" s="308"/>
      <c r="AS252" s="403"/>
    </row>
    <row r="253" spans="1:45" hidden="1">
      <c r="B253" s="271" t="s">
        <v>31</v>
      </c>
      <c r="P253" s="283"/>
      <c r="R253" s="308"/>
      <c r="S253" s="308"/>
      <c r="T253" s="308"/>
      <c r="U253" s="308"/>
      <c r="V253" s="308"/>
      <c r="W253" s="308"/>
      <c r="X253" s="308"/>
      <c r="Y253" s="308"/>
      <c r="Z253" s="308"/>
      <c r="AA253" s="308"/>
      <c r="AB253" s="402"/>
      <c r="AC253" s="402"/>
      <c r="AD253" s="402"/>
      <c r="AE253" s="402"/>
      <c r="AF253" s="402"/>
      <c r="AG253" s="402"/>
      <c r="AH253" s="402"/>
      <c r="AI253" s="402"/>
      <c r="AJ253" s="402"/>
      <c r="AK253" s="402"/>
      <c r="AL253" s="402"/>
      <c r="AM253" s="402"/>
      <c r="AN253" s="402"/>
      <c r="AO253" s="383"/>
      <c r="AP253" s="402"/>
      <c r="AQ253" s="308"/>
      <c r="AR253" s="308"/>
      <c r="AS253" s="434"/>
    </row>
    <row r="254" spans="1:45" hidden="1">
      <c r="B254" s="271" t="s">
        <v>31</v>
      </c>
      <c r="E254" s="271"/>
      <c r="F254" s="271"/>
      <c r="H254" s="271"/>
      <c r="P254" s="283"/>
      <c r="R254" s="308"/>
      <c r="S254" s="308"/>
      <c r="T254" s="388">
        <f>IF(AND(VALUE($F$22)&gt;399,VALUE($F$22)&lt;500),0,IF(OR($F$11="NO",T$1="HIDE",T$4="ACTUAL"),0,T251+T261))</f>
        <v>0</v>
      </c>
      <c r="U254" s="308"/>
      <c r="V254" s="388">
        <f>IF(AND(VALUE($F$22)&gt;399,VALUE($F$22)&lt;500),0,IF(OR($F$11="NO",V$1="HIDE",V$4="ACTUAL"),0,V251+V261))</f>
        <v>0</v>
      </c>
      <c r="W254" s="308"/>
      <c r="X254" s="388">
        <f>IF(AND(VALUE($F$22)&gt;399,VALUE($F$22)&lt;500),0,IF(OR($F$11="NO",X$1="HIDE",X$4="ACTUAL"),0,X251+X261))</f>
        <v>0</v>
      </c>
      <c r="Y254" s="308"/>
      <c r="Z254" s="388">
        <f>IF(AND(VALUE($F$22)&gt;399,VALUE($F$22)&lt;500),0,IF(OR($F$11="NO",Z$1="HIDE",Z$4="ACTUAL"),0,Z251+Z261))</f>
        <v>0</v>
      </c>
      <c r="AA254" s="308"/>
      <c r="AB254" s="354">
        <f>IF(AND(VALUE($F$22)&gt;399,VALUE($F$22)&lt;500),0,IF(OR($F$11="NO",AB$1="HIDE",AB$4="ACTUAL"),0,AB251+AB261))</f>
        <v>0</v>
      </c>
      <c r="AC254" s="402"/>
      <c r="AD254" s="354">
        <f>IF(AND(VALUE($F$22)&gt;399,VALUE($F$22)&lt;500),0,IF(OR($F$11="NO",AD$1="HIDE",AD$4="ACTUAL"),0,AD251+AD261))</f>
        <v>0</v>
      </c>
      <c r="AE254" s="402"/>
      <c r="AF254" s="354">
        <f>IF(AND(VALUE($F$22)&gt;399,VALUE($F$22)&lt;500),0,IF(OR($F$11="NO",AF$1="HIDE",AF$4="ACTUAL"),0,AF251+AF261))</f>
        <v>0</v>
      </c>
      <c r="AG254" s="402"/>
      <c r="AH254" s="354">
        <f>IF(AND(VALUE($F$22)&gt;399,VALUE($F$22)&lt;500),0,IF(OR($F$11="NO",AH$1="HIDE",AH$4="ACTUAL"),0,AH251+AH261))</f>
        <v>0</v>
      </c>
      <c r="AI254" s="402"/>
      <c r="AJ254" s="354">
        <v>0</v>
      </c>
      <c r="AK254" s="402"/>
      <c r="AL254" s="350">
        <v>0</v>
      </c>
      <c r="AM254" s="350"/>
      <c r="AN254" s="350">
        <f>IF(AND(VALUE($F$22)&gt;399,VALUE($F$22)&lt;500),0,IF(OR($F$11="NO",AN$1="HIDE",AN$4="ACTUAL"),0,AN251+AN261))</f>
        <v>0</v>
      </c>
      <c r="AO254" s="350"/>
      <c r="AP254" s="350">
        <f ca="1">IF(AND(VALUE($F$22)&gt;399,VALUE($F$22)&lt;500),0,IF(OR($F$11="NO",AP$1="HIDE",AP$4="ACTUAL"),0,AP251+AP261))</f>
        <v>0</v>
      </c>
      <c r="AQ254" s="308"/>
      <c r="AR254" s="308"/>
      <c r="AS254" s="434"/>
    </row>
    <row r="255" spans="1:45" ht="15" customHeight="1">
      <c r="B255" s="271" t="str">
        <f ca="1">IF(OR($F$11="Yes",$AQ262&lt;&gt;0),"Show",IF($AQ262=0,"Hide","Show"))</f>
        <v>Show</v>
      </c>
      <c r="E255" s="300" t="s">
        <v>451</v>
      </c>
      <c r="F255" s="300"/>
      <c r="G255" s="300"/>
      <c r="H255" s="300"/>
      <c r="I255" s="277"/>
      <c r="P255" s="283"/>
      <c r="R255" s="328" t="s">
        <v>452</v>
      </c>
      <c r="S255" s="308"/>
      <c r="T255" s="308"/>
      <c r="U255" s="308"/>
      <c r="V255" s="308"/>
      <c r="W255" s="308"/>
      <c r="X255" s="308"/>
      <c r="Y255" s="308"/>
      <c r="Z255" s="308"/>
      <c r="AA255" s="308"/>
      <c r="AB255" s="402"/>
      <c r="AC255" s="402"/>
      <c r="AD255" s="402"/>
      <c r="AE255" s="402"/>
      <c r="AF255" s="402"/>
      <c r="AG255" s="402"/>
      <c r="AH255" s="402"/>
      <c r="AI255" s="402"/>
      <c r="AJ255" s="402"/>
      <c r="AK255" s="402"/>
      <c r="AL255" s="402"/>
      <c r="AM255" s="402"/>
      <c r="AN255" s="402"/>
      <c r="AO255" s="383"/>
      <c r="AP255" s="402"/>
      <c r="AQ255" s="308"/>
      <c r="AR255" s="308"/>
      <c r="AS255" s="434"/>
    </row>
    <row r="256" spans="1:45" ht="0.95" customHeight="1">
      <c r="B256" s="274" t="str">
        <f ca="1">B255</f>
        <v>Show</v>
      </c>
      <c r="P256" s="283"/>
      <c r="R256" s="308"/>
      <c r="S256" s="308"/>
      <c r="T256" s="308"/>
      <c r="U256" s="308"/>
      <c r="V256" s="308"/>
      <c r="W256" s="308"/>
      <c r="X256" s="308"/>
      <c r="Y256" s="308"/>
      <c r="Z256" s="308"/>
      <c r="AA256" s="308"/>
      <c r="AB256" s="402"/>
      <c r="AC256" s="402"/>
      <c r="AD256" s="402"/>
      <c r="AE256" s="402"/>
      <c r="AF256" s="402"/>
      <c r="AG256" s="402"/>
      <c r="AH256" s="402"/>
      <c r="AI256" s="402"/>
      <c r="AJ256" s="402"/>
      <c r="AK256" s="402"/>
      <c r="AL256" s="402"/>
      <c r="AM256" s="402"/>
      <c r="AN256" s="402"/>
      <c r="AO256" s="383"/>
      <c r="AP256" s="402"/>
      <c r="AQ256" s="308"/>
      <c r="AR256" s="308"/>
      <c r="AS256" s="434"/>
    </row>
    <row r="257" spans="1:45" ht="15.6" customHeight="1">
      <c r="A257" s="271" t="s">
        <v>236</v>
      </c>
      <c r="B257" s="271" t="str">
        <f t="shared" ref="B257:B259" si="80">IF(AQ257=0,"Hide","Show")</f>
        <v>Show</v>
      </c>
      <c r="E257" s="271"/>
      <c r="F257" s="271"/>
      <c r="G257" s="271"/>
      <c r="H257" s="271"/>
      <c r="K257" s="454" t="s">
        <v>453</v>
      </c>
      <c r="L257" s="280" t="str">
        <f t="shared" ref="L257:L259" si="81">$F$22</f>
        <v>001</v>
      </c>
      <c r="M257" s="280" t="str">
        <f t="shared" ref="M257:M259" si="82">$J$7</f>
        <v>10/1/2016..9/30/2017</v>
      </c>
      <c r="N257" s="271" t="str">
        <f t="shared" ref="N257:N259" si="83">$D$6</f>
        <v>HARMONY CDD</v>
      </c>
      <c r="O257" s="387" t="str">
        <f t="shared" ref="O257:O259" si="84">IF(K257="","399998",K257)</f>
        <v>381000</v>
      </c>
      <c r="P257" s="280" t="str">
        <f t="shared" ref="P257:P259" si="85">K257</f>
        <v>381000</v>
      </c>
      <c r="R257" s="455" t="s">
        <v>454</v>
      </c>
      <c r="S257" s="308"/>
      <c r="T257" s="456">
        <v>0</v>
      </c>
      <c r="U257" s="308"/>
      <c r="V257" s="456">
        <v>0</v>
      </c>
      <c r="W257" s="456"/>
      <c r="X257" s="456">
        <v>0</v>
      </c>
      <c r="Y257" s="456"/>
      <c r="Z257" s="456">
        <v>0</v>
      </c>
      <c r="AA257" s="456"/>
      <c r="AB257" s="402">
        <v>100000</v>
      </c>
      <c r="AC257" s="402"/>
      <c r="AD257" s="402">
        <v>0</v>
      </c>
      <c r="AE257" s="402"/>
      <c r="AF257" s="402">
        <v>0</v>
      </c>
      <c r="AG257" s="402"/>
      <c r="AH257" s="402">
        <v>0</v>
      </c>
      <c r="AI257" s="402"/>
      <c r="AJ257" s="457">
        <v>0</v>
      </c>
      <c r="AK257" s="402"/>
      <c r="AL257" s="402">
        <f t="shared" ref="AL257:AL259" si="86">IF(ISERROR(AH257+AJ257),0,(AH257+AJ257))</f>
        <v>0</v>
      </c>
      <c r="AM257" s="402"/>
      <c r="AN257" s="402">
        <v>0</v>
      </c>
      <c r="AO257" s="383"/>
      <c r="AP257" s="457">
        <f t="shared" ref="AP257:AP259" si="87">IF($F$13="YES",AF257,AN257)</f>
        <v>0</v>
      </c>
      <c r="AQ257" s="441">
        <f t="shared" ref="AQ257:AQ259" si="88">ABS(SUMIF(V257:AP257,"&gt;0")-SUMIF(V257:AP257,"&lt;0"))</f>
        <v>100000</v>
      </c>
      <c r="AR257" s="308"/>
      <c r="AS257" s="458"/>
    </row>
    <row r="258" spans="1:45" ht="15.6" hidden="1" customHeight="1">
      <c r="A258" s="271" t="s">
        <v>311</v>
      </c>
      <c r="B258" s="271" t="str">
        <f t="shared" si="80"/>
        <v>Hide</v>
      </c>
      <c r="K258" s="337" t="str">
        <f>"388100"</f>
        <v>388100</v>
      </c>
      <c r="L258" s="275" t="str">
        <f t="shared" si="81"/>
        <v>001</v>
      </c>
      <c r="M258" s="275" t="str">
        <f t="shared" si="82"/>
        <v>10/1/2016..9/30/2017</v>
      </c>
      <c r="N258" s="271" t="str">
        <f t="shared" si="83"/>
        <v>HARMONY CDD</v>
      </c>
      <c r="O258" s="387" t="str">
        <f t="shared" si="84"/>
        <v>388100</v>
      </c>
      <c r="P258" s="283" t="str">
        <f t="shared" si="85"/>
        <v>388100</v>
      </c>
      <c r="R258" s="389" t="s">
        <v>455</v>
      </c>
      <c r="S258" s="308"/>
      <c r="T258" s="459">
        <v>0</v>
      </c>
      <c r="U258" s="308"/>
      <c r="V258" s="459">
        <v>0</v>
      </c>
      <c r="W258" s="459"/>
      <c r="X258" s="459">
        <v>0</v>
      </c>
      <c r="Y258" s="459"/>
      <c r="Z258" s="459">
        <v>0</v>
      </c>
      <c r="AA258" s="459"/>
      <c r="AB258" s="352">
        <v>0</v>
      </c>
      <c r="AC258" s="352"/>
      <c r="AD258" s="352">
        <v>0</v>
      </c>
      <c r="AE258" s="352"/>
      <c r="AF258" s="352">
        <v>0</v>
      </c>
      <c r="AG258" s="352"/>
      <c r="AH258" s="352">
        <v>0</v>
      </c>
      <c r="AI258" s="352"/>
      <c r="AJ258" s="460">
        <v>0</v>
      </c>
      <c r="AK258" s="352"/>
      <c r="AL258" s="352">
        <f t="shared" si="86"/>
        <v>0</v>
      </c>
      <c r="AM258" s="352"/>
      <c r="AN258" s="352">
        <v>0</v>
      </c>
      <c r="AO258" s="386"/>
      <c r="AP258" s="460">
        <f t="shared" si="87"/>
        <v>0</v>
      </c>
      <c r="AQ258" s="344">
        <f t="shared" si="88"/>
        <v>0</v>
      </c>
      <c r="AR258" s="308"/>
      <c r="AS258" s="458"/>
    </row>
    <row r="259" spans="1:45" ht="15.6" hidden="1" customHeight="1">
      <c r="A259" s="271" t="s">
        <v>311</v>
      </c>
      <c r="B259" s="271" t="str">
        <f t="shared" si="80"/>
        <v>Hide</v>
      </c>
      <c r="K259" s="337" t="str">
        <f>"591000"</f>
        <v>591000</v>
      </c>
      <c r="L259" s="275" t="str">
        <f t="shared" si="81"/>
        <v>001</v>
      </c>
      <c r="M259" s="275" t="str">
        <f t="shared" si="82"/>
        <v>10/1/2016..9/30/2017</v>
      </c>
      <c r="N259" s="271" t="str">
        <f t="shared" si="83"/>
        <v>HARMONY CDD</v>
      </c>
      <c r="O259" s="387" t="str">
        <f t="shared" si="84"/>
        <v>591000</v>
      </c>
      <c r="P259" s="283" t="str">
        <f t="shared" si="85"/>
        <v>591000</v>
      </c>
      <c r="R259" s="389" t="s">
        <v>456</v>
      </c>
      <c r="S259" s="308"/>
      <c r="T259" s="459">
        <v>0</v>
      </c>
      <c r="U259" s="308"/>
      <c r="V259" s="459">
        <v>0</v>
      </c>
      <c r="W259" s="459"/>
      <c r="X259" s="459">
        <v>0</v>
      </c>
      <c r="Y259" s="459"/>
      <c r="Z259" s="459">
        <v>0</v>
      </c>
      <c r="AA259" s="459"/>
      <c r="AB259" s="352">
        <v>0</v>
      </c>
      <c r="AC259" s="352"/>
      <c r="AD259" s="352">
        <v>0</v>
      </c>
      <c r="AE259" s="352"/>
      <c r="AF259" s="352">
        <v>0</v>
      </c>
      <c r="AG259" s="352"/>
      <c r="AH259" s="352">
        <v>0</v>
      </c>
      <c r="AI259" s="352"/>
      <c r="AJ259" s="460">
        <v>0</v>
      </c>
      <c r="AK259" s="352"/>
      <c r="AL259" s="352">
        <f t="shared" si="86"/>
        <v>0</v>
      </c>
      <c r="AM259" s="352"/>
      <c r="AN259" s="352">
        <v>0</v>
      </c>
      <c r="AO259" s="386"/>
      <c r="AP259" s="460">
        <f t="shared" si="87"/>
        <v>0</v>
      </c>
      <c r="AQ259" s="344">
        <f t="shared" si="88"/>
        <v>0</v>
      </c>
      <c r="AR259" s="308"/>
      <c r="AS259" s="458"/>
    </row>
    <row r="260" spans="1:45" ht="7.5" hidden="1" customHeight="1">
      <c r="B260" s="271" t="s">
        <v>31</v>
      </c>
      <c r="P260" s="283"/>
      <c r="R260" s="389"/>
      <c r="S260" s="308"/>
      <c r="T260" s="459"/>
      <c r="U260" s="308"/>
      <c r="V260" s="459"/>
      <c r="W260" s="459"/>
      <c r="X260" s="459"/>
      <c r="Y260" s="459"/>
      <c r="Z260" s="459"/>
      <c r="AA260" s="459"/>
      <c r="AB260" s="352"/>
      <c r="AC260" s="352"/>
      <c r="AD260" s="352"/>
      <c r="AE260" s="352"/>
      <c r="AF260" s="352"/>
      <c r="AG260" s="352"/>
      <c r="AH260" s="352"/>
      <c r="AI260" s="352"/>
      <c r="AJ260" s="352"/>
      <c r="AK260" s="352"/>
      <c r="AL260" s="352"/>
      <c r="AM260" s="352"/>
      <c r="AN260" s="352"/>
      <c r="AO260" s="386"/>
      <c r="AP260" s="352"/>
      <c r="AQ260" s="344"/>
      <c r="AR260" s="308"/>
      <c r="AS260" s="434"/>
    </row>
    <row r="261" spans="1:45" ht="15" hidden="1" customHeight="1">
      <c r="B261" s="271" t="s">
        <v>31</v>
      </c>
      <c r="P261" s="283"/>
      <c r="R261" s="308"/>
      <c r="S261" s="308"/>
      <c r="T261" s="388">
        <f>SUM(T256:T260)</f>
        <v>0</v>
      </c>
      <c r="U261" s="308"/>
      <c r="V261" s="388">
        <f>SUM(V256:V260)</f>
        <v>0</v>
      </c>
      <c r="W261" s="308"/>
      <c r="X261" s="388">
        <f>SUM(X256:X260)</f>
        <v>0</v>
      </c>
      <c r="Y261" s="308"/>
      <c r="Z261" s="388">
        <f>SUM(Z256:Z260)</f>
        <v>0</v>
      </c>
      <c r="AA261" s="308"/>
      <c r="AB261" s="354">
        <f>SUM(AB256:AB260)</f>
        <v>100000</v>
      </c>
      <c r="AC261" s="402"/>
      <c r="AD261" s="354">
        <f>SUM(AD256:AD260)</f>
        <v>0</v>
      </c>
      <c r="AE261" s="402"/>
      <c r="AF261" s="354">
        <f>SUM(AF256:AF260)</f>
        <v>0</v>
      </c>
      <c r="AG261" s="402"/>
      <c r="AH261" s="354">
        <f>SUM(AH256:AH260)</f>
        <v>0</v>
      </c>
      <c r="AI261" s="402"/>
      <c r="AJ261" s="354">
        <f>SUM(AJ256:AJ260)</f>
        <v>0</v>
      </c>
      <c r="AK261" s="402"/>
      <c r="AL261" s="354">
        <f>SUM(AL256:AL260)</f>
        <v>0</v>
      </c>
      <c r="AM261" s="402"/>
      <c r="AN261" s="354">
        <f>SUM(AN256:AN260)</f>
        <v>0</v>
      </c>
      <c r="AO261" s="354"/>
      <c r="AP261" s="354">
        <f>SUM(AP256:AP260)</f>
        <v>0</v>
      </c>
      <c r="AQ261" s="344">
        <f t="shared" ref="AQ261:AQ262" si="89">ABS(SUMIF(V261:AP261,"&gt;0")-SUMIF(V261:AP261,"&lt;0"))</f>
        <v>100000</v>
      </c>
      <c r="AR261" s="308"/>
      <c r="AS261" s="403"/>
    </row>
    <row r="262" spans="1:45" ht="15.6" hidden="1" customHeight="1">
      <c r="A262" s="271" t="s">
        <v>236</v>
      </c>
      <c r="B262" s="271" t="str">
        <f ca="1">IF(OR($F$11="Yes",$AQ262&lt;&gt;0),"Show",IF($AQ262=0,"Hide","Show"))</f>
        <v>Show</v>
      </c>
      <c r="K262" s="337">
        <v>590550</v>
      </c>
      <c r="L262" s="275" t="str">
        <f>$F$22</f>
        <v>001</v>
      </c>
      <c r="M262" s="275" t="str">
        <f>$J$7</f>
        <v>10/1/2016..9/30/2017</v>
      </c>
      <c r="N262" s="271" t="str">
        <f>$D$6</f>
        <v>HARMONY CDD</v>
      </c>
      <c r="O262" s="280">
        <f>K262</f>
        <v>590550</v>
      </c>
      <c r="P262" s="283">
        <v>599999</v>
      </c>
      <c r="R262" s="461" t="s">
        <v>457</v>
      </c>
      <c r="S262" s="308"/>
      <c r="T262" s="428">
        <f>IF(OR(T$4="ACTUAL",T$1="hide"),0,T$254)</f>
        <v>0</v>
      </c>
      <c r="U262" s="308"/>
      <c r="V262" s="428">
        <f>IF(OR(V$4="ACTUAL",V$1="hide"),0,V$254)</f>
        <v>0</v>
      </c>
      <c r="W262" s="308"/>
      <c r="X262" s="428">
        <f>IF(OR(X$4="ACTUAL",X$1="hide"),0,X$254)</f>
        <v>0</v>
      </c>
      <c r="Y262" s="308"/>
      <c r="Z262" s="428">
        <f>IF(OR(Z$4="ACTUAL",Z$1="hide"),0,Z$254)</f>
        <v>0</v>
      </c>
      <c r="AA262" s="308"/>
      <c r="AB262" s="354">
        <f>IF(OR(AB$4="ACTUAL",AB$1="hide"),0,AB$254)</f>
        <v>0</v>
      </c>
      <c r="AC262" s="402"/>
      <c r="AD262" s="354">
        <f>IF(OR(AD$4="ACTUAL",AD$1="hide"),0,AD$254)</f>
        <v>0</v>
      </c>
      <c r="AE262" s="402"/>
      <c r="AF262" s="354">
        <f>IF(OR(AF$4="ACTUAL",AF$1="hide"),0,AF$254)</f>
        <v>0</v>
      </c>
      <c r="AG262" s="402"/>
      <c r="AH262" s="354">
        <f>IF(OR(AH$4="ACTUAL",AH$1="hide"),0,AH$254)</f>
        <v>0</v>
      </c>
      <c r="AI262" s="402"/>
      <c r="AJ262" s="391">
        <f>IF(OR(AJ$4="ACTUAL",AJ$1="hide"),0,AJ$254)</f>
        <v>0</v>
      </c>
      <c r="AK262" s="402"/>
      <c r="AL262" s="354">
        <f>IF(ISERROR(AH262+AJ262),0,(AH262+AJ262))</f>
        <v>0</v>
      </c>
      <c r="AM262" s="402"/>
      <c r="AN262" s="354">
        <f>IF(OR(AN$4="ACTUAL",AN$1="hide"),0,AN$254)</f>
        <v>0</v>
      </c>
      <c r="AO262" s="354"/>
      <c r="AP262" s="391">
        <f ca="1">IF(OR(AP$4="ACTUAL",AP$1="hide"),0,AP$254)</f>
        <v>0</v>
      </c>
      <c r="AQ262" s="344">
        <f t="shared" ca="1" si="89"/>
        <v>0</v>
      </c>
      <c r="AR262" s="308"/>
      <c r="AS262" s="462"/>
    </row>
    <row r="263" spans="1:45" ht="3.95" customHeight="1">
      <c r="B263" s="274" t="str">
        <f ca="1">B264</f>
        <v>Show</v>
      </c>
      <c r="P263" s="283"/>
      <c r="R263" s="308"/>
      <c r="S263" s="308"/>
      <c r="T263" s="308"/>
      <c r="U263" s="308"/>
      <c r="V263" s="308"/>
      <c r="W263" s="308"/>
      <c r="X263" s="308"/>
      <c r="Y263" s="308"/>
      <c r="Z263" s="308"/>
      <c r="AA263" s="308"/>
      <c r="AB263" s="402"/>
      <c r="AC263" s="402"/>
      <c r="AD263" s="402"/>
      <c r="AE263" s="402"/>
      <c r="AF263" s="402"/>
      <c r="AG263" s="402"/>
      <c r="AH263" s="402"/>
      <c r="AI263" s="402"/>
      <c r="AJ263" s="402"/>
      <c r="AK263" s="402"/>
      <c r="AL263" s="402"/>
      <c r="AM263" s="402"/>
      <c r="AN263" s="402"/>
      <c r="AO263" s="383"/>
      <c r="AP263" s="402"/>
      <c r="AQ263" s="308"/>
      <c r="AR263" s="308"/>
      <c r="AS263" s="403"/>
    </row>
    <row r="264" spans="1:45" ht="15" customHeight="1">
      <c r="B264" s="271" t="str">
        <f ca="1">IF(OR($F$11="Yes",$AQ264&lt;&gt;0),"Show",IF($AQ264=0,"Hide","Show"))</f>
        <v>Show</v>
      </c>
      <c r="P264" s="283"/>
      <c r="R264" s="368" t="s">
        <v>458</v>
      </c>
      <c r="S264" s="431"/>
      <c r="T264" s="370">
        <f>SUM(T261:T262)</f>
        <v>0</v>
      </c>
      <c r="U264" s="431"/>
      <c r="V264" s="370">
        <f>SUM(V261:V262)</f>
        <v>0</v>
      </c>
      <c r="W264" s="431"/>
      <c r="X264" s="370">
        <f>SUM(X261:X262)</f>
        <v>0</v>
      </c>
      <c r="Y264" s="431"/>
      <c r="Z264" s="370">
        <f>SUM(Z261:Z262)</f>
        <v>0</v>
      </c>
      <c r="AA264" s="431"/>
      <c r="AB264" s="372">
        <f>SUM(AB261:AB262)</f>
        <v>100000</v>
      </c>
      <c r="AC264" s="374"/>
      <c r="AD264" s="372">
        <f>SUM(AD261:AD262)</f>
        <v>0</v>
      </c>
      <c r="AE264" s="374"/>
      <c r="AF264" s="372">
        <f>SUM(AF261:AF262)</f>
        <v>0</v>
      </c>
      <c r="AG264" s="374"/>
      <c r="AH264" s="372">
        <f>SUM(AH261:AH262)</f>
        <v>0</v>
      </c>
      <c r="AI264" s="374"/>
      <c r="AJ264" s="372">
        <f>SUM(AJ261:AJ262)</f>
        <v>0</v>
      </c>
      <c r="AK264" s="374"/>
      <c r="AL264" s="372">
        <f>SUM(AL261:AL262)</f>
        <v>0</v>
      </c>
      <c r="AM264" s="374"/>
      <c r="AN264" s="372">
        <f>SUM(AN261:AN262)</f>
        <v>0</v>
      </c>
      <c r="AO264" s="372"/>
      <c r="AP264" s="375">
        <f ca="1">SUM(AP261:AP262)</f>
        <v>0</v>
      </c>
      <c r="AQ264" s="344">
        <f ca="1">ABS(SUMIF(V264:AP264,"&gt;0")-SUMIF(V264:AP264,"&lt;0"))</f>
        <v>100000</v>
      </c>
      <c r="AR264" s="308"/>
      <c r="AS264" s="434"/>
    </row>
    <row r="265" spans="1:45" ht="9.9499999999999993" customHeight="1">
      <c r="B265" s="271" t="str">
        <f ca="1">B264</f>
        <v>Show</v>
      </c>
      <c r="P265" s="283"/>
      <c r="R265" s="308"/>
      <c r="S265" s="308"/>
      <c r="T265" s="308"/>
      <c r="U265" s="308"/>
      <c r="V265" s="308"/>
      <c r="W265" s="308"/>
      <c r="X265" s="308"/>
      <c r="Y265" s="308"/>
      <c r="Z265" s="308"/>
      <c r="AA265" s="308"/>
      <c r="AB265" s="402"/>
      <c r="AC265" s="402"/>
      <c r="AD265" s="402"/>
      <c r="AE265" s="402"/>
      <c r="AF265" s="402"/>
      <c r="AG265" s="402"/>
      <c r="AH265" s="402"/>
      <c r="AI265" s="402"/>
      <c r="AJ265" s="402"/>
      <c r="AK265" s="402"/>
      <c r="AL265" s="402"/>
      <c r="AM265" s="402"/>
      <c r="AN265" s="402"/>
      <c r="AO265" s="383"/>
      <c r="AP265" s="402"/>
      <c r="AQ265" s="308"/>
      <c r="AR265" s="308"/>
      <c r="AS265" s="434"/>
    </row>
    <row r="266" spans="1:45" ht="15" customHeight="1">
      <c r="B266" s="271" t="s">
        <v>62</v>
      </c>
      <c r="E266" s="271"/>
      <c r="F266" s="271"/>
      <c r="G266" s="271"/>
      <c r="H266" s="271"/>
      <c r="K266" s="437"/>
      <c r="L266" s="271"/>
      <c r="M266" s="271"/>
      <c r="P266" s="280"/>
      <c r="R266" s="315" t="str">
        <f>IF(AND($F$22&gt;"399",$F$22&lt;"500"),"Change in net assets","Net change in fund balance")</f>
        <v>Net change in fund balance</v>
      </c>
      <c r="S266" s="308"/>
      <c r="T266" s="448">
        <f>IF(T$4="ACTUAL",SUM(T264+T251),SUM(T264+T251+(IF(ABS(T254)&lt;0.49,0,-T254))))</f>
        <v>581826</v>
      </c>
      <c r="U266" s="308"/>
      <c r="V266" s="448">
        <f>IF(V$4="ACTUAL",SUM(V264+V251),SUM(V264+V251+(IF(ABS(V254)&lt;0.49,0,-V254))))</f>
        <v>0</v>
      </c>
      <c r="W266" s="308"/>
      <c r="X266" s="448">
        <f>IF(X$4="ACTUAL",SUM(X264+X251),SUM(X264+X251+(IF(ABS(X254)&lt;0.49,0,-X254))))</f>
        <v>0</v>
      </c>
      <c r="Y266" s="308"/>
      <c r="Z266" s="448">
        <f>IF(Z$4="ACTUAL",SUM(Z264+Z251),SUM(Z264+Z251+(IF(ABS(Z254)&lt;0.49,0,-Z254))))</f>
        <v>0</v>
      </c>
      <c r="AA266" s="308"/>
      <c r="AB266" s="463">
        <f>IF(AB$4="ACTUAL",SUM(AB264+AB251),SUM(AB264+AB251+(IF(ABS(AB254)&lt;0.49,0,-AB254))))</f>
        <v>-274482</v>
      </c>
      <c r="AC266" s="464"/>
      <c r="AD266" s="463">
        <f>IF(AD$4="ACTUAL",SUM(AD264+AD251),SUM(AD264+AD251+(IF(ABS(AD254)&lt;0.49,0,-AD254))))</f>
        <v>0</v>
      </c>
      <c r="AE266" s="464"/>
      <c r="AF266" s="463">
        <f>IF(AF$4="ACTUAL",SUM(AF264+AF251),SUM(AF264+AF251+(IF(ABS(AF254)&lt;0.49,0,-AF254))))</f>
        <v>0</v>
      </c>
      <c r="AG266" s="464"/>
      <c r="AH266" s="463">
        <f>IF(AH$4="ACTUAL",SUM(AH264+AH251),SUM(AH264+AH251+(IF(ABS(AH254)&lt;0.49,0,-AH254))))</f>
        <v>648697</v>
      </c>
      <c r="AI266" s="464"/>
      <c r="AJ266" s="463">
        <f>IF(AJ$4="ACTUAL",SUM(AJ264+AJ251),SUM(AJ264+AJ251+(IF(ABS(AJ254)&lt;0.49,0,-AJ254))))</f>
        <v>-555702</v>
      </c>
      <c r="AK266" s="464"/>
      <c r="AL266" s="463">
        <f>IF(AL$4="ACTUAL",SUM(AL264+AL251),SUM(AL264+AL251+(IF(ABS(AL254)&lt;0.49,0,-AL254))))</f>
        <v>92995</v>
      </c>
      <c r="AM266" s="464"/>
      <c r="AN266" s="463">
        <f>IF(AN$4="ACTUAL",SUM(AN264+AN251),SUM(AN264+AN251+(IF(ABS(AN254)&lt;0.49,0,-AN254))))</f>
        <v>0</v>
      </c>
      <c r="AO266" s="465"/>
      <c r="AP266" s="463">
        <f ca="1">IF(AP$4="ACTUAL",SUM(AP264+AP251),SUM(AP264+AP251+(IF(ABS(AP254)&lt;0.49,0,-AP254))))</f>
        <v>0</v>
      </c>
      <c r="AQ266" s="441">
        <f ca="1">ABS(SUMIF(V266:AP266,"&gt;0")-SUMIF(V266:AP266,"&lt;0"))</f>
        <v>1571876</v>
      </c>
      <c r="AR266" s="308"/>
      <c r="AS266" s="434"/>
    </row>
    <row r="267" spans="1:45" ht="9.9499999999999993" customHeight="1">
      <c r="B267" s="271" t="s">
        <v>62</v>
      </c>
      <c r="P267" s="283"/>
      <c r="R267" s="308"/>
      <c r="S267" s="308"/>
      <c r="T267" s="308"/>
      <c r="U267" s="308"/>
      <c r="V267" s="308"/>
      <c r="W267" s="308"/>
      <c r="X267" s="308"/>
      <c r="Y267" s="308"/>
      <c r="Z267" s="308"/>
      <c r="AA267" s="308"/>
      <c r="AB267" s="402"/>
      <c r="AC267" s="402"/>
      <c r="AD267" s="402"/>
      <c r="AE267" s="402"/>
      <c r="AF267" s="402"/>
      <c r="AG267" s="402"/>
      <c r="AH267" s="402"/>
      <c r="AI267" s="402"/>
      <c r="AJ267" s="402"/>
      <c r="AK267" s="402"/>
      <c r="AL267" s="402"/>
      <c r="AM267" s="402"/>
      <c r="AN267" s="402"/>
      <c r="AO267" s="383"/>
      <c r="AP267" s="402"/>
      <c r="AQ267" s="308"/>
      <c r="AR267" s="308"/>
      <c r="AS267" s="434"/>
    </row>
    <row r="268" spans="1:45" ht="15" hidden="1" customHeight="1">
      <c r="B268" s="271" t="s">
        <v>31</v>
      </c>
      <c r="O268" s="466" t="s">
        <v>459</v>
      </c>
      <c r="P268" s="467">
        <v>391000</v>
      </c>
      <c r="R268" s="389" t="s">
        <v>460</v>
      </c>
      <c r="S268" s="308"/>
      <c r="T268" s="459">
        <v>0</v>
      </c>
      <c r="U268" s="308"/>
      <c r="V268" s="459">
        <v>0</v>
      </c>
      <c r="W268" s="459"/>
      <c r="X268" s="459">
        <v>0</v>
      </c>
      <c r="Y268" s="459"/>
      <c r="Z268" s="459">
        <v>0</v>
      </c>
      <c r="AA268" s="459"/>
      <c r="AB268" s="352">
        <v>0</v>
      </c>
      <c r="AC268" s="352"/>
      <c r="AD268" s="352">
        <v>0</v>
      </c>
      <c r="AE268" s="352"/>
      <c r="AF268" s="352">
        <v>0</v>
      </c>
      <c r="AG268" s="352"/>
      <c r="AH268" s="352">
        <v>0</v>
      </c>
      <c r="AI268" s="352"/>
      <c r="AJ268" s="352">
        <v>0</v>
      </c>
      <c r="AK268" s="352"/>
      <c r="AL268" s="352">
        <f>AH268+AJ268</f>
        <v>0</v>
      </c>
      <c r="AM268" s="352"/>
      <c r="AN268" s="352">
        <v>0</v>
      </c>
      <c r="AO268" s="386"/>
      <c r="AP268" s="352">
        <v>0</v>
      </c>
      <c r="AQ268" s="344">
        <f t="shared" ref="AQ268:AQ271" si="90">ABS(SUMIF(V268:AP268,"&gt;0")-SUMIF(V268:AP268,"&lt;0"))</f>
        <v>0</v>
      </c>
      <c r="AR268" s="308"/>
      <c r="AS268" s="434"/>
    </row>
    <row r="269" spans="1:45" ht="15" hidden="1" customHeight="1">
      <c r="B269" s="271" t="s">
        <v>31</v>
      </c>
      <c r="O269" s="297"/>
      <c r="P269" s="467"/>
      <c r="R269" s="322" t="s">
        <v>461</v>
      </c>
      <c r="S269" s="308"/>
      <c r="T269" s="468">
        <v>0</v>
      </c>
      <c r="U269" s="308"/>
      <c r="V269" s="468">
        <v>0</v>
      </c>
      <c r="W269" s="453"/>
      <c r="X269" s="468">
        <v>0</v>
      </c>
      <c r="Y269" s="453"/>
      <c r="Z269" s="468">
        <v>0</v>
      </c>
      <c r="AA269" s="453"/>
      <c r="AB269" s="354">
        <v>0</v>
      </c>
      <c r="AC269" s="402"/>
      <c r="AD269" s="352"/>
      <c r="AE269" s="402"/>
      <c r="AF269" s="352">
        <f>AH269</f>
        <v>0</v>
      </c>
      <c r="AG269" s="402"/>
      <c r="AH269" s="352">
        <f>$Z$302</f>
        <v>0</v>
      </c>
      <c r="AI269" s="402"/>
      <c r="AJ269" s="354">
        <v>0</v>
      </c>
      <c r="AK269" s="402"/>
      <c r="AL269" s="352"/>
      <c r="AM269" s="402"/>
      <c r="AN269" s="354">
        <v>0</v>
      </c>
      <c r="AO269" s="354"/>
      <c r="AP269" s="354">
        <v>0</v>
      </c>
      <c r="AQ269" s="344">
        <f t="shared" si="90"/>
        <v>0</v>
      </c>
      <c r="AR269" s="308"/>
      <c r="AS269" s="434"/>
    </row>
    <row r="270" spans="1:45" ht="15" hidden="1" customHeight="1">
      <c r="B270" s="271" t="s">
        <v>31</v>
      </c>
      <c r="O270" s="297"/>
      <c r="P270" s="467"/>
      <c r="R270" s="469" t="s">
        <v>462</v>
      </c>
      <c r="S270" s="388"/>
      <c r="T270" s="388">
        <f>ABS(T64)+ABS(T247)+ABS(T264)</f>
        <v>1799696</v>
      </c>
      <c r="U270" s="388"/>
      <c r="V270" s="388">
        <f>ABS(V64)+ABS(V247)+ABS(V264)</f>
        <v>0</v>
      </c>
      <c r="W270" s="388"/>
      <c r="X270" s="388">
        <f>ABS(X64)+ABS(X247)+ABS(X264)</f>
        <v>0</v>
      </c>
      <c r="Y270" s="388"/>
      <c r="Z270" s="388">
        <f>ABS(Z64)+ABS(Z247)+ABS(Z264)</f>
        <v>0</v>
      </c>
      <c r="AA270" s="388"/>
      <c r="AB270" s="354">
        <f>ABS(AB64)+ABS(AB247)+ABS(AB264)</f>
        <v>4018156</v>
      </c>
      <c r="AC270" s="354"/>
      <c r="AD270" s="354">
        <f>ABS(AD64)+ABS(AD247)+ABS(AD264)</f>
        <v>0</v>
      </c>
      <c r="AE270" s="354"/>
      <c r="AF270" s="354">
        <f>ABS(AF64)+ABS(AF247)+ABS(AF264)</f>
        <v>3748231.62</v>
      </c>
      <c r="AG270" s="354"/>
      <c r="AH270" s="354">
        <f>ABS(AH64)+ABS(AH247)+ABS(AH264)</f>
        <v>2567803</v>
      </c>
      <c r="AI270" s="354"/>
      <c r="AJ270" s="354">
        <v>0</v>
      </c>
      <c r="AK270" s="354"/>
      <c r="AL270" s="354">
        <f t="shared" ref="AL270:AL271" si="91">AH270+AJ270</f>
        <v>2567803</v>
      </c>
      <c r="AM270" s="354"/>
      <c r="AN270" s="354">
        <v>0</v>
      </c>
      <c r="AO270" s="354"/>
      <c r="AP270" s="354">
        <v>0</v>
      </c>
      <c r="AQ270" s="344">
        <f t="shared" si="90"/>
        <v>12901993.620000001</v>
      </c>
      <c r="AR270" s="308"/>
      <c r="AS270" s="434"/>
    </row>
    <row r="271" spans="1:45" ht="15" customHeight="1">
      <c r="B271" s="271" t="s">
        <v>62</v>
      </c>
      <c r="O271" s="466" t="s">
        <v>459</v>
      </c>
      <c r="P271" s="467">
        <v>391000</v>
      </c>
      <c r="R271" s="328" t="str">
        <f>IF(AND($F$22&gt;"399",$F$22&lt;"500"),"TOTAL NET ASSETS, BEGINNING","FUND BALANCE, BEGINNING")</f>
        <v>FUND BALANCE, BEGINNING</v>
      </c>
      <c r="S271" s="308"/>
      <c r="T271" s="459">
        <v>590303</v>
      </c>
      <c r="U271" s="308"/>
      <c r="V271" s="459">
        <f>IF(V$1="Show",V273-V268-V266,0)</f>
        <v>0</v>
      </c>
      <c r="W271" s="459"/>
      <c r="X271" s="459">
        <f>IF(X$1="Show",X273-X268-X266,0)</f>
        <v>0</v>
      </c>
      <c r="Y271" s="459"/>
      <c r="Z271" s="459">
        <f>IF(Z$1="Show",Z273-Z268-Z266,0)</f>
        <v>0</v>
      </c>
      <c r="AA271" s="459"/>
      <c r="AB271" s="352">
        <f>IF(AB$1="Show",AB273-AB268-AB266,0)</f>
        <v>856921</v>
      </c>
      <c r="AC271" s="352"/>
      <c r="AD271" s="352">
        <v>0</v>
      </c>
      <c r="AE271" s="352"/>
      <c r="AF271" s="352">
        <f>IF(OR($O271="",AF$1="HIDE"),0,IF(AND(AF$4="BUDGET",AF$270=0),0,AH271))</f>
        <v>582439</v>
      </c>
      <c r="AG271" s="352"/>
      <c r="AH271" s="352">
        <v>582439</v>
      </c>
      <c r="AI271" s="352"/>
      <c r="AJ271" s="352">
        <v>0</v>
      </c>
      <c r="AK271" s="352"/>
      <c r="AL271" s="352">
        <f t="shared" si="91"/>
        <v>582439</v>
      </c>
      <c r="AM271" s="352"/>
      <c r="AN271" s="352">
        <v>0</v>
      </c>
      <c r="AO271" s="386"/>
      <c r="AP271" s="352">
        <f>AL273</f>
        <v>675434</v>
      </c>
      <c r="AQ271" s="344">
        <f t="shared" si="90"/>
        <v>3279672</v>
      </c>
      <c r="AR271" s="308"/>
      <c r="AS271" s="434"/>
    </row>
    <row r="272" spans="1:45" ht="9.9499999999999993" customHeight="1">
      <c r="B272" s="271" t="s">
        <v>62</v>
      </c>
      <c r="P272" s="283"/>
      <c r="R272" s="308"/>
      <c r="S272" s="308"/>
      <c r="T272" s="308"/>
      <c r="U272" s="308"/>
      <c r="V272" s="308"/>
      <c r="W272" s="308"/>
      <c r="X272" s="308"/>
      <c r="Y272" s="308"/>
      <c r="Z272" s="308"/>
      <c r="AA272" s="308"/>
      <c r="AB272" s="402"/>
      <c r="AC272" s="402"/>
      <c r="AD272" s="402"/>
      <c r="AE272" s="402"/>
      <c r="AF272" s="402"/>
      <c r="AG272" s="402"/>
      <c r="AH272" s="402"/>
      <c r="AI272" s="402"/>
      <c r="AJ272" s="402"/>
      <c r="AK272" s="402"/>
      <c r="AL272" s="402"/>
      <c r="AM272" s="402"/>
      <c r="AN272" s="402"/>
      <c r="AO272" s="383"/>
      <c r="AP272" s="402"/>
      <c r="AQ272" s="308"/>
      <c r="AR272" s="308"/>
      <c r="AS272" s="434"/>
    </row>
    <row r="273" spans="1:45" ht="15" customHeight="1">
      <c r="B273" s="271" t="s">
        <v>62</v>
      </c>
      <c r="P273" s="283"/>
      <c r="R273" s="334" t="str">
        <f>IF(AND($F$22&gt;"399",$F$22&lt;"500"),"TOTAL NET ASSETS, ENDING","FUND BALANCE, ENDING")</f>
        <v>FUND BALANCE, ENDING</v>
      </c>
      <c r="S273" s="308"/>
      <c r="T273" s="470">
        <f>SUM(T266+T271)</f>
        <v>1172129</v>
      </c>
      <c r="U273" s="315"/>
      <c r="V273" s="470">
        <f>IF(V$1="Hide",0,X271)</f>
        <v>0</v>
      </c>
      <c r="W273" s="315"/>
      <c r="X273" s="470">
        <f>IF(X$1="Hide",0,Z271)</f>
        <v>0</v>
      </c>
      <c r="Y273" s="315"/>
      <c r="Z273" s="470">
        <f>IF(Z$1="Hide",0,AB271)</f>
        <v>0</v>
      </c>
      <c r="AA273" s="315"/>
      <c r="AB273" s="471">
        <f>IF(AB$1="Hide",0,AF271)</f>
        <v>582439</v>
      </c>
      <c r="AC273" s="472"/>
      <c r="AD273" s="471">
        <f>SUM(AD266+AD271)</f>
        <v>0</v>
      </c>
      <c r="AE273" s="472"/>
      <c r="AF273" s="471">
        <f>SUM(AF266+AF271)</f>
        <v>582439</v>
      </c>
      <c r="AG273" s="472"/>
      <c r="AH273" s="471">
        <f>SUM(AH266+AH271)</f>
        <v>1231136</v>
      </c>
      <c r="AI273" s="472"/>
      <c r="AJ273" s="471">
        <f>SUM(AJ266+AJ271)</f>
        <v>-555702</v>
      </c>
      <c r="AK273" s="472"/>
      <c r="AL273" s="471">
        <f>SUM(AL266+AL271)</f>
        <v>675434</v>
      </c>
      <c r="AM273" s="472"/>
      <c r="AN273" s="471">
        <f>SUM(AN266+AN271)</f>
        <v>0</v>
      </c>
      <c r="AO273" s="473"/>
      <c r="AP273" s="471">
        <f ca="1">SUM(AP266+AP271)</f>
        <v>675434</v>
      </c>
      <c r="AQ273" s="344">
        <f ca="1">ABS(SUMIF(V273:AP273,"&gt;0")-SUMIF(V273:AP273,"&lt;0"))</f>
        <v>4302584</v>
      </c>
      <c r="AR273" s="308"/>
      <c r="AS273" s="434"/>
    </row>
    <row r="274" spans="1:45" ht="15" hidden="1" customHeight="1">
      <c r="B274" s="271" t="str">
        <f t="shared" ref="B274:B285" si="92">B275</f>
        <v>Hide</v>
      </c>
      <c r="P274" s="283"/>
      <c r="R274" s="308"/>
      <c r="S274" s="308"/>
      <c r="T274" s="308"/>
      <c r="U274" s="308"/>
      <c r="V274" s="308"/>
      <c r="W274" s="308"/>
      <c r="X274" s="308"/>
      <c r="Y274" s="308"/>
      <c r="Z274" s="308"/>
      <c r="AA274" s="308"/>
      <c r="AB274" s="402"/>
      <c r="AC274" s="402"/>
      <c r="AD274" s="402"/>
      <c r="AE274" s="402"/>
      <c r="AF274" s="402"/>
      <c r="AG274" s="402"/>
      <c r="AH274" s="402"/>
      <c r="AI274" s="402"/>
      <c r="AJ274" s="402"/>
      <c r="AK274" s="402"/>
      <c r="AL274" s="411"/>
      <c r="AM274" s="402"/>
      <c r="AN274" s="402"/>
      <c r="AO274" s="383"/>
      <c r="AP274" s="402"/>
      <c r="AQ274" s="308"/>
      <c r="AR274" s="308"/>
      <c r="AS274" s="434"/>
    </row>
    <row r="275" spans="1:45" ht="15" hidden="1" customHeight="1">
      <c r="B275" s="271" t="str">
        <f t="shared" si="92"/>
        <v>Hide</v>
      </c>
      <c r="P275" s="283"/>
      <c r="R275" s="308"/>
      <c r="S275" s="308"/>
      <c r="T275" s="308"/>
      <c r="U275" s="308"/>
      <c r="V275" s="308"/>
      <c r="W275" s="308"/>
      <c r="X275" s="308"/>
      <c r="Y275" s="308"/>
      <c r="Z275" s="308"/>
      <c r="AA275" s="308"/>
      <c r="AB275" s="402"/>
      <c r="AC275" s="402"/>
      <c r="AD275" s="402"/>
      <c r="AE275" s="402"/>
      <c r="AF275" s="402"/>
      <c r="AG275" s="402"/>
      <c r="AH275" s="402"/>
      <c r="AI275" s="402"/>
      <c r="AJ275" s="402"/>
      <c r="AK275" s="402"/>
      <c r="AL275" s="411"/>
      <c r="AM275" s="402"/>
      <c r="AN275" s="402"/>
      <c r="AO275" s="383"/>
      <c r="AP275" s="402"/>
      <c r="AQ275" s="344">
        <f ca="1">SUM(AQ34:AQ273)</f>
        <v>71643013.235540926</v>
      </c>
      <c r="AR275" s="308"/>
      <c r="AS275" s="434"/>
    </row>
    <row r="276" spans="1:45" hidden="1">
      <c r="B276" s="271" t="str">
        <f t="shared" si="92"/>
        <v>Hide</v>
      </c>
      <c r="P276" s="283"/>
      <c r="R276" s="308"/>
      <c r="S276" s="308"/>
      <c r="T276" s="308"/>
      <c r="U276" s="308"/>
      <c r="V276" s="308"/>
      <c r="W276" s="308"/>
      <c r="X276" s="308"/>
      <c r="Y276" s="308"/>
      <c r="Z276" s="308"/>
      <c r="AA276" s="308"/>
      <c r="AB276" s="402"/>
      <c r="AC276" s="402"/>
      <c r="AD276" s="402"/>
      <c r="AE276" s="402"/>
      <c r="AF276" s="402"/>
      <c r="AG276" s="402"/>
      <c r="AH276" s="402"/>
      <c r="AI276" s="402"/>
      <c r="AJ276" s="402"/>
      <c r="AK276" s="402"/>
      <c r="AL276" s="411"/>
      <c r="AM276" s="402"/>
      <c r="AN276" s="402"/>
      <c r="AO276" s="383"/>
      <c r="AP276" s="402"/>
      <c r="AQ276" s="308"/>
      <c r="AR276" s="308"/>
      <c r="AS276" s="434"/>
    </row>
    <row r="277" spans="1:45" hidden="1">
      <c r="B277" s="271" t="str">
        <f t="shared" si="92"/>
        <v>Hide</v>
      </c>
      <c r="P277" s="283"/>
      <c r="R277" s="308"/>
      <c r="S277" s="308"/>
      <c r="T277" s="474" t="s">
        <v>301</v>
      </c>
      <c r="U277" s="308"/>
      <c r="V277" s="308" t="str">
        <f>IF($V31="","",$V31)</f>
        <v/>
      </c>
      <c r="W277" s="308"/>
      <c r="X277" s="308" t="str">
        <f>IF($V31="","",$V31)</f>
        <v/>
      </c>
      <c r="Y277" s="308"/>
      <c r="Z277" s="308" t="str">
        <f>IF($V31="","",$V31)</f>
        <v/>
      </c>
      <c r="AA277" s="308"/>
      <c r="AB277" s="475" t="str">
        <f t="shared" ref="AB277:AB279" si="93">IF(AB31="","",AB31)</f>
        <v/>
      </c>
      <c r="AC277" s="402"/>
      <c r="AD277" s="475" t="str">
        <f t="shared" ref="AD277:AD279" si="94">IF(AD31="","",AD31)</f>
        <v>ADOPTED</v>
      </c>
      <c r="AE277" s="402"/>
      <c r="AF277" s="475" t="str">
        <f t="shared" ref="AF277:AF279" si="95">IF(AF31="","",AF31)</f>
        <v>ADOPTED</v>
      </c>
      <c r="AG277" s="402"/>
      <c r="AH277" s="475" t="str">
        <f t="shared" ref="AH277:AH279" si="96">IF(AH31="","",AH31)</f>
        <v xml:space="preserve">ACTUAL </v>
      </c>
      <c r="AI277" s="402"/>
      <c r="AJ277" s="475" t="str">
        <f t="shared" ref="AJ277:AJ279" si="97">IF(AJ31="","",AJ31)</f>
        <v>PROJECTED</v>
      </c>
      <c r="AK277" s="402"/>
      <c r="AL277" s="476" t="str">
        <f t="shared" ref="AL277:AL279" si="98">IF(AL31="","",AL31)</f>
        <v>TOTAL</v>
      </c>
      <c r="AM277" s="402"/>
      <c r="AN277" s="475" t="str">
        <f t="shared" ref="AN277:AN279" si="99">IF(AN31="","",AN31)</f>
        <v>NAVIGATOR</v>
      </c>
      <c r="AO277" s="383"/>
      <c r="AP277" s="475" t="str">
        <f t="shared" ref="AP277:AP279" si="100">IF(AP31="","",AP31)</f>
        <v>ANNUAL</v>
      </c>
      <c r="AQ277" s="308"/>
      <c r="AR277" s="308"/>
      <c r="AS277" s="434"/>
    </row>
    <row r="278" spans="1:45" hidden="1">
      <c r="B278" s="271" t="str">
        <f t="shared" si="92"/>
        <v>Hide</v>
      </c>
      <c r="P278" s="283"/>
      <c r="R278" s="308"/>
      <c r="S278" s="308"/>
      <c r="T278" s="474" t="str">
        <f t="shared" ref="T278:T279" si="101">IF(T32="","",T32)</f>
        <v xml:space="preserve">ACTUAL </v>
      </c>
      <c r="U278" s="308"/>
      <c r="V278" s="474" t="str">
        <f t="shared" ref="V278:V279" si="102">IF(V32="","",V32)</f>
        <v xml:space="preserve">ACTUAL </v>
      </c>
      <c r="W278" s="474"/>
      <c r="X278" s="474" t="str">
        <f t="shared" ref="X278:X279" si="103">IF(X32="","",X32)</f>
        <v xml:space="preserve">ACTUAL </v>
      </c>
      <c r="Y278" s="474"/>
      <c r="Z278" s="474" t="str">
        <f t="shared" ref="Z278:Z279" si="104">IF(Z32="","",Z32)</f>
        <v xml:space="preserve">ACTUAL </v>
      </c>
      <c r="AA278" s="474"/>
      <c r="AB278" s="475" t="str">
        <f t="shared" si="93"/>
        <v xml:space="preserve">ACTUAL </v>
      </c>
      <c r="AC278" s="475"/>
      <c r="AD278" s="475" t="str">
        <f t="shared" si="94"/>
        <v xml:space="preserve">BUDGET </v>
      </c>
      <c r="AE278" s="475"/>
      <c r="AF278" s="475" t="str">
        <f t="shared" si="95"/>
        <v xml:space="preserve">BUDGET </v>
      </c>
      <c r="AG278" s="475"/>
      <c r="AH278" s="475" t="str">
        <f t="shared" si="96"/>
        <v>THRU</v>
      </c>
      <c r="AI278" s="475"/>
      <c r="AJ278" s="475" t="str">
        <f t="shared" si="97"/>
        <v>June thru</v>
      </c>
      <c r="AK278" s="475"/>
      <c r="AL278" s="476" t="str">
        <f t="shared" si="98"/>
        <v>PROJECTED</v>
      </c>
      <c r="AM278" s="475"/>
      <c r="AN278" s="475" t="str">
        <f t="shared" si="99"/>
        <v>BALANCE</v>
      </c>
      <c r="AO278" s="475"/>
      <c r="AP278" s="475" t="str">
        <f t="shared" si="100"/>
        <v xml:space="preserve">BUDGET </v>
      </c>
      <c r="AQ278" s="308"/>
      <c r="AR278" s="308"/>
      <c r="AS278" s="434"/>
    </row>
    <row r="279" spans="1:45" hidden="1">
      <c r="B279" s="271" t="str">
        <f t="shared" si="92"/>
        <v>Hide</v>
      </c>
      <c r="P279" s="283"/>
      <c r="R279" s="308"/>
      <c r="S279" s="308"/>
      <c r="T279" s="331" t="str">
        <f t="shared" si="101"/>
        <v>TEST</v>
      </c>
      <c r="U279" s="308"/>
      <c r="V279" s="331" t="str">
        <f t="shared" si="102"/>
        <v>FY 2012</v>
      </c>
      <c r="W279" s="331"/>
      <c r="X279" s="331" t="str">
        <f t="shared" si="103"/>
        <v>FY 2013</v>
      </c>
      <c r="Y279" s="331"/>
      <c r="Z279" s="331" t="str">
        <f t="shared" si="104"/>
        <v>FY 2014</v>
      </c>
      <c r="AA279" s="331"/>
      <c r="AB279" s="477" t="str">
        <f t="shared" si="93"/>
        <v>FY - 2015</v>
      </c>
      <c r="AC279" s="477"/>
      <c r="AD279" s="477" t="str">
        <f t="shared" si="94"/>
        <v>FY - 2015</v>
      </c>
      <c r="AE279" s="477"/>
      <c r="AF279" s="477" t="str">
        <f t="shared" si="95"/>
        <v>FY - 2016</v>
      </c>
      <c r="AG279" s="477"/>
      <c r="AH279" s="477" t="str">
        <f t="shared" si="96"/>
        <v>May – 2016</v>
      </c>
      <c r="AI279" s="477"/>
      <c r="AJ279" s="477" t="str">
        <f t="shared" si="97"/>
        <v>EoFY – 2016</v>
      </c>
      <c r="AK279" s="477"/>
      <c r="AL279" s="478" t="str">
        <f t="shared" si="98"/>
        <v>FY-2016</v>
      </c>
      <c r="AM279" s="477"/>
      <c r="AN279" s="477" t="str">
        <f t="shared" si="99"/>
        <v>FY - 2017</v>
      </c>
      <c r="AO279" s="475"/>
      <c r="AP279" s="477" t="str">
        <f t="shared" si="100"/>
        <v>FY - 2017</v>
      </c>
      <c r="AQ279" s="308"/>
      <c r="AR279" s="308"/>
      <c r="AS279" s="434"/>
    </row>
    <row r="280" spans="1:45" hidden="1">
      <c r="B280" s="271" t="str">
        <f t="shared" si="92"/>
        <v>Hide</v>
      </c>
      <c r="P280" s="283"/>
      <c r="R280" s="308"/>
      <c r="S280" s="308"/>
      <c r="T280" s="308"/>
      <c r="U280" s="308"/>
      <c r="V280" s="308"/>
      <c r="W280" s="308"/>
      <c r="X280" s="308"/>
      <c r="Y280" s="308"/>
      <c r="Z280" s="308"/>
      <c r="AA280" s="308"/>
      <c r="AB280" s="402"/>
      <c r="AC280" s="402"/>
      <c r="AD280" s="402"/>
      <c r="AE280" s="402"/>
      <c r="AF280" s="402"/>
      <c r="AG280" s="402"/>
      <c r="AH280" s="402"/>
      <c r="AI280" s="402"/>
      <c r="AJ280" s="402"/>
      <c r="AK280" s="402"/>
      <c r="AL280" s="411"/>
      <c r="AM280" s="402"/>
      <c r="AN280" s="402"/>
      <c r="AO280" s="383"/>
      <c r="AP280" s="402"/>
      <c r="AQ280" s="308"/>
      <c r="AR280" s="308"/>
      <c r="AS280" s="434"/>
    </row>
    <row r="281" spans="1:45" s="488" customFormat="1" hidden="1">
      <c r="A281" s="271"/>
      <c r="B281" s="271" t="str">
        <f t="shared" si="92"/>
        <v>Hide</v>
      </c>
      <c r="C281" s="271"/>
      <c r="D281" s="271"/>
      <c r="E281" s="272"/>
      <c r="F281" s="272"/>
      <c r="G281" s="272"/>
      <c r="H281" s="272"/>
      <c r="I281" s="271"/>
      <c r="J281" s="271"/>
      <c r="K281" s="273"/>
      <c r="L281" s="274"/>
      <c r="M281" s="274"/>
      <c r="N281" s="271"/>
      <c r="O281" s="271"/>
      <c r="P281" s="479" t="s">
        <v>463</v>
      </c>
      <c r="Q281" s="271"/>
      <c r="R281" s="308"/>
      <c r="S281" s="308"/>
      <c r="T281" s="480">
        <v>0</v>
      </c>
      <c r="U281" s="308"/>
      <c r="V281" s="480">
        <v>0</v>
      </c>
      <c r="W281" s="481"/>
      <c r="X281" s="480">
        <v>0</v>
      </c>
      <c r="Y281" s="481"/>
      <c r="Z281" s="480">
        <v>0</v>
      </c>
      <c r="AA281" s="481"/>
      <c r="AB281" s="482">
        <v>-1.5</v>
      </c>
      <c r="AC281" s="483"/>
      <c r="AD281" s="482">
        <v>0</v>
      </c>
      <c r="AE281" s="483"/>
      <c r="AF281" s="482">
        <v>0</v>
      </c>
      <c r="AG281" s="483"/>
      <c r="AH281" s="482">
        <v>-1.3899999998975545</v>
      </c>
      <c r="AI281" s="483"/>
      <c r="AJ281" s="482">
        <v>0</v>
      </c>
      <c r="AK281" s="483"/>
      <c r="AL281" s="484">
        <v>0</v>
      </c>
      <c r="AM281" s="483"/>
      <c r="AN281" s="482">
        <v>0</v>
      </c>
      <c r="AO281" s="485"/>
      <c r="AP281" s="482">
        <v>0</v>
      </c>
      <c r="AQ281" s="486"/>
      <c r="AR281" s="481"/>
      <c r="AS281" s="487"/>
    </row>
    <row r="282" spans="1:45" s="488" customFormat="1" hidden="1">
      <c r="A282" s="271"/>
      <c r="B282" s="271" t="str">
        <f t="shared" si="92"/>
        <v>Hide</v>
      </c>
      <c r="C282" s="271"/>
      <c r="D282" s="271"/>
      <c r="E282" s="272"/>
      <c r="F282" s="272"/>
      <c r="G282" s="272"/>
      <c r="H282" s="272"/>
      <c r="I282" s="271"/>
      <c r="J282" s="271"/>
      <c r="K282" s="273"/>
      <c r="L282" s="274"/>
      <c r="M282" s="274"/>
      <c r="N282" s="271"/>
      <c r="O282" s="271"/>
      <c r="P282" s="479" t="s">
        <v>464</v>
      </c>
      <c r="Q282" s="271"/>
      <c r="R282" s="308"/>
      <c r="S282" s="308"/>
      <c r="T282" s="480">
        <v>0</v>
      </c>
      <c r="U282" s="308"/>
      <c r="V282" s="480">
        <v>0</v>
      </c>
      <c r="W282" s="481"/>
      <c r="X282" s="480">
        <v>0</v>
      </c>
      <c r="Y282" s="481"/>
      <c r="Z282" s="480">
        <v>0</v>
      </c>
      <c r="AA282" s="481"/>
      <c r="AB282" s="482">
        <v>-0.59000000031664968</v>
      </c>
      <c r="AC282" s="483"/>
      <c r="AD282" s="482">
        <v>0</v>
      </c>
      <c r="AE282" s="483"/>
      <c r="AF282" s="482">
        <v>0</v>
      </c>
      <c r="AG282" s="483"/>
      <c r="AH282" s="482">
        <v>-0.83000000007450581</v>
      </c>
      <c r="AI282" s="483"/>
      <c r="AJ282" s="482">
        <v>0</v>
      </c>
      <c r="AK282" s="483"/>
      <c r="AL282" s="484">
        <v>0</v>
      </c>
      <c r="AM282" s="483"/>
      <c r="AN282" s="482">
        <v>0</v>
      </c>
      <c r="AO282" s="485"/>
      <c r="AP282" s="482">
        <v>0</v>
      </c>
      <c r="AQ282" s="486"/>
      <c r="AR282" s="481"/>
      <c r="AS282" s="487"/>
    </row>
    <row r="283" spans="1:45" s="488" customFormat="1" hidden="1">
      <c r="A283" s="271"/>
      <c r="B283" s="271" t="str">
        <f t="shared" si="92"/>
        <v>Hide</v>
      </c>
      <c r="C283" s="271"/>
      <c r="D283" s="271"/>
      <c r="E283" s="272"/>
      <c r="F283" s="272"/>
      <c r="G283" s="272"/>
      <c r="H283" s="272"/>
      <c r="I283" s="271"/>
      <c r="J283" s="271"/>
      <c r="K283" s="273"/>
      <c r="L283" s="274"/>
      <c r="M283" s="274"/>
      <c r="N283" s="271"/>
      <c r="O283" s="271"/>
      <c r="P283" s="479" t="s">
        <v>451</v>
      </c>
      <c r="Q283" s="271"/>
      <c r="R283" s="308"/>
      <c r="S283" s="308"/>
      <c r="T283" s="480">
        <v>0</v>
      </c>
      <c r="U283" s="308"/>
      <c r="V283" s="480">
        <v>0</v>
      </c>
      <c r="W283" s="481"/>
      <c r="X283" s="480">
        <v>0</v>
      </c>
      <c r="Y283" s="481"/>
      <c r="Z283" s="480">
        <v>0</v>
      </c>
      <c r="AA283" s="481"/>
      <c r="AB283" s="482">
        <v>-1.4551915228366852E-11</v>
      </c>
      <c r="AC283" s="483"/>
      <c r="AD283" s="482">
        <v>0</v>
      </c>
      <c r="AE283" s="483"/>
      <c r="AF283" s="482">
        <v>0</v>
      </c>
      <c r="AG283" s="483"/>
      <c r="AH283" s="482">
        <v>0</v>
      </c>
      <c r="AI283" s="483"/>
      <c r="AJ283" s="482">
        <v>0</v>
      </c>
      <c r="AK283" s="483"/>
      <c r="AL283" s="484">
        <v>0</v>
      </c>
      <c r="AM283" s="483"/>
      <c r="AN283" s="482">
        <v>0</v>
      </c>
      <c r="AO283" s="485"/>
      <c r="AP283" s="482">
        <v>0</v>
      </c>
      <c r="AQ283" s="486"/>
      <c r="AR283" s="481"/>
      <c r="AS283" s="487"/>
    </row>
    <row r="284" spans="1:45" s="488" customFormat="1" hidden="1">
      <c r="A284" s="271"/>
      <c r="B284" s="271" t="str">
        <f t="shared" si="92"/>
        <v>Hide</v>
      </c>
      <c r="C284" s="271"/>
      <c r="D284" s="271"/>
      <c r="E284" s="272"/>
      <c r="F284" s="272"/>
      <c r="G284" s="272"/>
      <c r="H284" s="272"/>
      <c r="I284" s="271"/>
      <c r="J284" s="271"/>
      <c r="K284" s="273"/>
      <c r="L284" s="274"/>
      <c r="M284" s="274"/>
      <c r="N284" s="271"/>
      <c r="O284" s="271"/>
      <c r="P284" s="479" t="s">
        <v>465</v>
      </c>
      <c r="Q284" s="271"/>
      <c r="R284" s="308"/>
      <c r="S284" s="308"/>
      <c r="T284" s="489">
        <v>0</v>
      </c>
      <c r="U284" s="308"/>
      <c r="V284" s="489">
        <v>0</v>
      </c>
      <c r="W284" s="486"/>
      <c r="X284" s="489">
        <v>0</v>
      </c>
      <c r="Y284" s="486"/>
      <c r="Z284" s="489">
        <v>0</v>
      </c>
      <c r="AA284" s="486"/>
      <c r="AB284" s="490">
        <v>0</v>
      </c>
      <c r="AC284" s="491"/>
      <c r="AD284" s="490">
        <v>0</v>
      </c>
      <c r="AE284" s="491"/>
      <c r="AF284" s="490">
        <v>0</v>
      </c>
      <c r="AG284" s="491"/>
      <c r="AH284" s="490">
        <v>0</v>
      </c>
      <c r="AI284" s="491"/>
      <c r="AJ284" s="490">
        <v>0</v>
      </c>
      <c r="AK284" s="491"/>
      <c r="AL284" s="492">
        <v>0</v>
      </c>
      <c r="AM284" s="491"/>
      <c r="AN284" s="490">
        <v>0</v>
      </c>
      <c r="AO284" s="491"/>
      <c r="AP284" s="490">
        <v>0</v>
      </c>
      <c r="AQ284" s="486"/>
      <c r="AR284" s="481"/>
      <c r="AS284" s="487"/>
    </row>
    <row r="285" spans="1:45" hidden="1">
      <c r="B285" s="271" t="str">
        <f t="shared" si="92"/>
        <v>Hide</v>
      </c>
      <c r="P285" s="283"/>
      <c r="R285" s="308"/>
      <c r="S285" s="308"/>
      <c r="T285" s="308"/>
      <c r="U285" s="308"/>
      <c r="V285" s="308"/>
      <c r="W285" s="308"/>
      <c r="X285" s="308"/>
      <c r="Y285" s="308"/>
      <c r="Z285" s="308"/>
      <c r="AA285" s="308"/>
      <c r="AB285" s="402"/>
      <c r="AC285" s="402"/>
      <c r="AD285" s="402"/>
      <c r="AE285" s="402"/>
      <c r="AF285" s="402"/>
      <c r="AG285" s="402"/>
      <c r="AH285" s="402"/>
      <c r="AI285" s="402"/>
      <c r="AJ285" s="402"/>
      <c r="AK285" s="402"/>
      <c r="AL285" s="411"/>
      <c r="AM285" s="402"/>
      <c r="AN285" s="402"/>
      <c r="AO285" s="383"/>
      <c r="AP285" s="402"/>
      <c r="AQ285" s="308"/>
      <c r="AR285" s="308"/>
      <c r="AS285" s="434"/>
    </row>
    <row r="286" spans="1:45" hidden="1">
      <c r="B286" s="271" t="str">
        <f>IF(COUNTIF(V286:AP286,"ERROR")=0,"Hide","Show")</f>
        <v>Hide</v>
      </c>
      <c r="P286" s="283"/>
      <c r="R286" s="308">
        <f>COUNTIF(V286:AP286,"ERROR")</f>
        <v>0</v>
      </c>
      <c r="S286" s="308"/>
      <c r="T286" s="308"/>
      <c r="U286" s="308"/>
      <c r="V286" s="312" t="str">
        <f>IF(OR(ABS(V281)&gt;10,ABS(V282)&gt;10,ABS(V283)&gt;10,ABS(V284)&gt;10),"ERROR","")</f>
        <v/>
      </c>
      <c r="W286" s="312"/>
      <c r="X286" s="312" t="str">
        <f>IF(OR(ABS(X281)&gt;10,ABS(X282)&gt;10,ABS(X283)&gt;10,ABS(X284)&gt;10),"ERROR","")</f>
        <v/>
      </c>
      <c r="Y286" s="312"/>
      <c r="Z286" s="312" t="str">
        <f>IF(OR(ABS(Z281)&gt;10,ABS(Z282)&gt;10,ABS(Z283)&gt;10,ABS(Z284)&gt;10),"ERROR","")</f>
        <v/>
      </c>
      <c r="AA286" s="312"/>
      <c r="AB286" s="493" t="str">
        <f>IF(OR(ABS(AB281)&gt;10,ABS(AB282)&gt;10,ABS(AB283)&gt;10,ABS(AB284)&gt;10),"ERROR","")</f>
        <v/>
      </c>
      <c r="AC286" s="493"/>
      <c r="AD286" s="493" t="str">
        <f>IF(OR(ABS(AD281)&gt;10,ABS(AD282)&gt;10,ABS(AD283)&gt;10,ABS(AD284)&gt;10),"ERROR","")</f>
        <v/>
      </c>
      <c r="AE286" s="493"/>
      <c r="AF286" s="493" t="str">
        <f>IF(OR(ABS(AF281)&gt;10,ABS(AF282)&gt;10,ABS(AF283)&gt;10,ABS(AF284)&gt;10),"ERROR","")</f>
        <v/>
      </c>
      <c r="AG286" s="493"/>
      <c r="AH286" s="493" t="str">
        <f>IF(OR(ABS(AH281)&gt;10,ABS(AH282)&gt;10,ABS(AH283)&gt;10,ABS(AH284)&gt;10),"ERROR","")</f>
        <v/>
      </c>
      <c r="AI286" s="493"/>
      <c r="AJ286" s="493"/>
      <c r="AK286" s="493"/>
      <c r="AL286" s="494"/>
      <c r="AM286" s="493"/>
      <c r="AN286" s="493" t="str">
        <f>IF(OR(ABS(AN281)&gt;10,ABS(AN282)&gt;10,ABS(AN283)&gt;10,ABS(AN284)&gt;10),"ERROR","")</f>
        <v/>
      </c>
      <c r="AO286" s="495"/>
      <c r="AP286" s="493"/>
      <c r="AQ286" s="308"/>
      <c r="AR286" s="308"/>
      <c r="AS286" s="434"/>
    </row>
    <row r="287" spans="1:45" hidden="1">
      <c r="B287" s="271" t="s">
        <v>31</v>
      </c>
      <c r="P287" s="283"/>
      <c r="R287" s="308"/>
      <c r="S287" s="308"/>
      <c r="T287" s="308"/>
      <c r="U287" s="308"/>
      <c r="V287" s="308"/>
      <c r="W287" s="308"/>
      <c r="X287" s="308"/>
      <c r="Y287" s="308"/>
      <c r="Z287" s="308"/>
      <c r="AA287" s="308"/>
      <c r="AB287" s="402"/>
      <c r="AC287" s="402"/>
      <c r="AD287" s="402"/>
      <c r="AE287" s="402"/>
      <c r="AF287" s="402"/>
      <c r="AG287" s="402"/>
      <c r="AH287" s="402"/>
      <c r="AI287" s="402"/>
      <c r="AJ287" s="402"/>
      <c r="AK287" s="402"/>
      <c r="AL287" s="411"/>
      <c r="AM287" s="402"/>
      <c r="AN287" s="402"/>
      <c r="AO287" s="383"/>
      <c r="AP287" s="402"/>
      <c r="AQ287" s="308"/>
      <c r="AR287" s="308"/>
      <c r="AS287" s="434"/>
    </row>
    <row r="288" spans="1:45" hidden="1">
      <c r="B288" s="271" t="s">
        <v>31</v>
      </c>
      <c r="P288" s="283"/>
      <c r="R288" s="308"/>
      <c r="S288" s="308"/>
      <c r="T288" s="312" t="s">
        <v>461</v>
      </c>
      <c r="U288" s="308"/>
      <c r="V288" s="308"/>
      <c r="W288" s="308"/>
      <c r="X288" s="308"/>
      <c r="Y288" s="308"/>
      <c r="Z288" s="308"/>
      <c r="AA288" s="308"/>
      <c r="AB288" s="402"/>
      <c r="AC288" s="402"/>
      <c r="AD288" s="493" t="s">
        <v>466</v>
      </c>
      <c r="AE288" s="402"/>
      <c r="AF288" s="493" t="s">
        <v>466</v>
      </c>
      <c r="AG288" s="402"/>
      <c r="AH288" s="402"/>
      <c r="AI288" s="402"/>
      <c r="AJ288" s="402"/>
      <c r="AK288" s="402"/>
      <c r="AL288" s="411"/>
      <c r="AM288" s="402"/>
      <c r="AN288" s="402"/>
      <c r="AO288" s="383"/>
      <c r="AP288" s="402"/>
      <c r="AQ288" s="308"/>
      <c r="AR288" s="308"/>
      <c r="AS288" s="434"/>
    </row>
    <row r="289" spans="2:45" hidden="1">
      <c r="B289" s="271" t="s">
        <v>31</v>
      </c>
      <c r="P289" s="479" t="s">
        <v>463</v>
      </c>
      <c r="R289" s="308"/>
      <c r="S289" s="308"/>
      <c r="T289" s="481">
        <f>T273</f>
        <v>1172129</v>
      </c>
      <c r="U289" s="308"/>
      <c r="V289" s="308"/>
      <c r="W289" s="308"/>
      <c r="X289" s="308"/>
      <c r="Y289" s="308"/>
      <c r="Z289" s="308"/>
      <c r="AA289" s="308"/>
      <c r="AB289" s="402"/>
      <c r="AC289" s="402"/>
      <c r="AD289" s="482">
        <v>0</v>
      </c>
      <c r="AE289" s="402"/>
      <c r="AF289" s="482">
        <v>0</v>
      </c>
      <c r="AG289" s="402"/>
      <c r="AH289" s="402"/>
      <c r="AI289" s="402"/>
      <c r="AJ289" s="402"/>
      <c r="AK289" s="402"/>
      <c r="AL289" s="411"/>
      <c r="AM289" s="402"/>
      <c r="AN289" s="402"/>
      <c r="AO289" s="383"/>
      <c r="AP289" s="402"/>
      <c r="AQ289" s="308"/>
      <c r="AR289" s="308"/>
      <c r="AS289" s="434"/>
    </row>
    <row r="290" spans="2:45" hidden="1">
      <c r="B290" s="271" t="s">
        <v>31</v>
      </c>
      <c r="P290" s="479" t="s">
        <v>464</v>
      </c>
      <c r="R290" s="308"/>
      <c r="S290" s="308"/>
      <c r="T290" s="481">
        <f>IF(ISERROR(HLOOKUP(F22,Balance_Sheet!N10:AC11,2)),0,HLOOKUP(F22,Balance_Sheet!N10:AC11,2))</f>
        <v>1172130</v>
      </c>
      <c r="U290" s="308"/>
      <c r="V290" s="308"/>
      <c r="W290" s="308"/>
      <c r="X290" s="308"/>
      <c r="Y290" s="308"/>
      <c r="Z290" s="308"/>
      <c r="AA290" s="308"/>
      <c r="AB290" s="402"/>
      <c r="AC290" s="402"/>
      <c r="AD290" s="482">
        <v>0</v>
      </c>
      <c r="AE290" s="402"/>
      <c r="AF290" s="482">
        <v>0</v>
      </c>
      <c r="AG290" s="402"/>
      <c r="AH290" s="402"/>
      <c r="AI290" s="402"/>
      <c r="AJ290" s="402"/>
      <c r="AK290" s="402"/>
      <c r="AL290" s="411"/>
      <c r="AM290" s="402"/>
      <c r="AN290" s="402"/>
      <c r="AO290" s="383"/>
      <c r="AP290" s="402"/>
      <c r="AQ290" s="308"/>
      <c r="AR290" s="308"/>
      <c r="AS290" s="434"/>
    </row>
    <row r="291" spans="2:45" hidden="1">
      <c r="B291" s="271" t="s">
        <v>31</v>
      </c>
      <c r="P291" s="479" t="s">
        <v>451</v>
      </c>
      <c r="R291" s="308"/>
      <c r="S291" s="308"/>
      <c r="T291" s="496">
        <f>T290-T289</f>
        <v>1</v>
      </c>
      <c r="U291" s="308"/>
      <c r="V291" s="308"/>
      <c r="W291" s="308"/>
      <c r="X291" s="308"/>
      <c r="Y291" s="308"/>
      <c r="Z291" s="308"/>
      <c r="AA291" s="308"/>
      <c r="AB291" s="402"/>
      <c r="AC291" s="402"/>
      <c r="AD291" s="482">
        <v>0</v>
      </c>
      <c r="AE291" s="402"/>
      <c r="AF291" s="482">
        <v>0</v>
      </c>
      <c r="AG291" s="402"/>
      <c r="AH291" s="402"/>
      <c r="AI291" s="402"/>
      <c r="AJ291" s="402"/>
      <c r="AK291" s="402"/>
      <c r="AL291" s="411"/>
      <c r="AM291" s="402"/>
      <c r="AN291" s="402"/>
      <c r="AO291" s="383"/>
      <c r="AP291" s="402"/>
      <c r="AQ291" s="308"/>
      <c r="AR291" s="308"/>
      <c r="AS291" s="434"/>
    </row>
    <row r="292" spans="2:45" hidden="1">
      <c r="B292" s="271" t="s">
        <v>31</v>
      </c>
      <c r="P292" s="479"/>
      <c r="R292" s="308"/>
      <c r="S292" s="308"/>
      <c r="T292" s="308"/>
      <c r="U292" s="308"/>
      <c r="V292" s="308"/>
      <c r="W292" s="308"/>
      <c r="X292" s="308"/>
      <c r="Y292" s="308"/>
      <c r="Z292" s="308"/>
      <c r="AA292" s="308"/>
      <c r="AB292" s="402"/>
      <c r="AC292" s="402"/>
      <c r="AD292" s="482">
        <f>ABS(AD289)+ABS(AD290)+ABS(AD291)</f>
        <v>0</v>
      </c>
      <c r="AE292" s="402"/>
      <c r="AF292" s="482">
        <f>ABS(AF289)+ABS(AF290)+ABS(AF291)</f>
        <v>0</v>
      </c>
      <c r="AG292" s="402"/>
      <c r="AH292" s="402"/>
      <c r="AI292" s="402"/>
      <c r="AJ292" s="402"/>
      <c r="AK292" s="402"/>
      <c r="AL292" s="411"/>
      <c r="AM292" s="402"/>
      <c r="AN292" s="402"/>
      <c r="AO292" s="383"/>
      <c r="AP292" s="402"/>
      <c r="AQ292" s="308"/>
      <c r="AR292" s="308"/>
      <c r="AS292" s="434"/>
    </row>
    <row r="293" spans="2:45" hidden="1">
      <c r="B293" s="271" t="str">
        <f t="shared" ref="B293:B302" si="105">B292</f>
        <v>Hide</v>
      </c>
      <c r="P293" s="283"/>
      <c r="R293" s="308"/>
      <c r="S293" s="308"/>
      <c r="T293" s="308"/>
      <c r="U293" s="308"/>
      <c r="V293" s="308"/>
      <c r="W293" s="308"/>
      <c r="X293" s="308"/>
      <c r="Y293" s="308"/>
      <c r="Z293" s="308"/>
      <c r="AA293" s="308"/>
      <c r="AB293" s="402"/>
      <c r="AC293" s="402"/>
      <c r="AD293" s="402"/>
      <c r="AE293" s="402"/>
      <c r="AF293" s="402"/>
      <c r="AG293" s="402"/>
      <c r="AH293" s="402"/>
      <c r="AI293" s="402"/>
      <c r="AJ293" s="402"/>
      <c r="AK293" s="402"/>
      <c r="AL293" s="411"/>
      <c r="AM293" s="402"/>
      <c r="AN293" s="402"/>
      <c r="AO293" s="383"/>
      <c r="AP293" s="402"/>
      <c r="AQ293" s="308"/>
      <c r="AR293" s="308"/>
      <c r="AS293" s="434"/>
    </row>
    <row r="294" spans="2:45" hidden="1">
      <c r="B294" s="271" t="str">
        <f t="shared" si="105"/>
        <v>Hide</v>
      </c>
      <c r="P294" s="283"/>
      <c r="R294" s="308"/>
      <c r="S294" s="308"/>
      <c r="T294" s="308"/>
      <c r="U294" s="308"/>
      <c r="V294" s="308"/>
      <c r="W294" s="308"/>
      <c r="X294" s="308"/>
      <c r="Y294" s="308"/>
      <c r="Z294" s="308"/>
      <c r="AA294" s="308"/>
      <c r="AB294" s="402"/>
      <c r="AC294" s="402"/>
      <c r="AD294" s="402"/>
      <c r="AE294" s="402"/>
      <c r="AF294" s="402"/>
      <c r="AG294" s="402"/>
      <c r="AH294" s="402"/>
      <c r="AI294" s="402"/>
      <c r="AJ294" s="402"/>
      <c r="AK294" s="402"/>
      <c r="AL294" s="411"/>
      <c r="AM294" s="402"/>
      <c r="AN294" s="402"/>
      <c r="AO294" s="383"/>
      <c r="AP294" s="402"/>
      <c r="AQ294" s="308"/>
      <c r="AR294" s="308"/>
      <c r="AS294" s="434"/>
    </row>
    <row r="295" spans="2:45" ht="13.5" hidden="1">
      <c r="B295" s="271" t="str">
        <f t="shared" si="105"/>
        <v>Hide</v>
      </c>
      <c r="P295" s="497">
        <v>361001</v>
      </c>
      <c r="R295" s="498" t="s">
        <v>467</v>
      </c>
      <c r="S295" s="308"/>
      <c r="T295" s="308"/>
      <c r="U295" s="308"/>
      <c r="V295" s="498"/>
      <c r="W295" s="308"/>
      <c r="X295" s="499">
        <v>414</v>
      </c>
      <c r="Y295" s="308"/>
      <c r="Z295" s="500">
        <f>IF($X295=0,0,$AB295)</f>
        <v>1</v>
      </c>
      <c r="AA295" s="308"/>
      <c r="AB295" s="501">
        <f>T291</f>
        <v>1</v>
      </c>
      <c r="AC295" s="402"/>
      <c r="AD295" s="402"/>
      <c r="AE295" s="402"/>
      <c r="AF295" s="402"/>
      <c r="AG295" s="402"/>
      <c r="AH295" s="402"/>
      <c r="AI295" s="402"/>
      <c r="AJ295" s="402"/>
      <c r="AK295" s="402"/>
      <c r="AL295" s="411"/>
      <c r="AM295" s="402"/>
      <c r="AN295" s="402"/>
      <c r="AO295" s="383"/>
      <c r="AP295" s="402"/>
      <c r="AQ295" s="308"/>
      <c r="AR295" s="308"/>
      <c r="AS295" s="434"/>
    </row>
    <row r="296" spans="2:45" ht="13.5" hidden="1">
      <c r="B296" s="271" t="str">
        <f t="shared" si="105"/>
        <v>Hide</v>
      </c>
      <c r="P296" s="497">
        <v>549001</v>
      </c>
      <c r="R296" s="498" t="s">
        <v>468</v>
      </c>
      <c r="S296" s="308"/>
      <c r="T296" s="308"/>
      <c r="U296" s="308"/>
      <c r="V296" s="498">
        <v>51301</v>
      </c>
      <c r="W296" s="308"/>
      <c r="X296" s="499">
        <v>0</v>
      </c>
      <c r="Y296" s="308"/>
      <c r="Z296" s="500">
        <f>IF($X296=0,0,IF($Z295=0,$AB296,0))</f>
        <v>0</v>
      </c>
      <c r="AA296" s="308"/>
      <c r="AB296" s="501">
        <f t="shared" ref="AB296:AB302" si="106">$AB295</f>
        <v>1</v>
      </c>
      <c r="AC296" s="402"/>
      <c r="AD296" s="402"/>
      <c r="AE296" s="402"/>
      <c r="AF296" s="402"/>
      <c r="AG296" s="402"/>
      <c r="AH296" s="402"/>
      <c r="AI296" s="402"/>
      <c r="AJ296" s="402"/>
      <c r="AK296" s="402"/>
      <c r="AL296" s="411"/>
      <c r="AM296" s="402"/>
      <c r="AN296" s="402"/>
      <c r="AO296" s="383"/>
      <c r="AP296" s="402"/>
      <c r="AQ296" s="308"/>
      <c r="AR296" s="308"/>
      <c r="AS296" s="434"/>
    </row>
    <row r="297" spans="2:45" ht="13.5" hidden="1">
      <c r="B297" s="271" t="str">
        <f t="shared" si="105"/>
        <v>Hide</v>
      </c>
      <c r="P297" s="497">
        <v>549900</v>
      </c>
      <c r="R297" s="498" t="s">
        <v>469</v>
      </c>
      <c r="S297" s="308"/>
      <c r="T297" s="308"/>
      <c r="U297" s="308"/>
      <c r="V297" s="498">
        <v>51301</v>
      </c>
      <c r="W297" s="308"/>
      <c r="X297" s="499">
        <v>69</v>
      </c>
      <c r="Y297" s="308"/>
      <c r="Z297" s="500">
        <f>IF($X297=0,0,IF(SUM($Z295:$Z296)=0,$AB297,0))</f>
        <v>0</v>
      </c>
      <c r="AA297" s="308"/>
      <c r="AB297" s="501">
        <f t="shared" si="106"/>
        <v>1</v>
      </c>
      <c r="AC297" s="402"/>
      <c r="AD297" s="402"/>
      <c r="AE297" s="402"/>
      <c r="AF297" s="402"/>
      <c r="AG297" s="402"/>
      <c r="AH297" s="402"/>
      <c r="AI297" s="402"/>
      <c r="AJ297" s="402"/>
      <c r="AK297" s="402"/>
      <c r="AL297" s="411"/>
      <c r="AM297" s="402"/>
      <c r="AN297" s="402"/>
      <c r="AO297" s="383"/>
      <c r="AP297" s="402"/>
      <c r="AQ297" s="308"/>
      <c r="AR297" s="308"/>
      <c r="AS297" s="434"/>
    </row>
    <row r="298" spans="2:45" ht="13.5" hidden="1">
      <c r="B298" s="271" t="str">
        <f t="shared" si="105"/>
        <v>Hide</v>
      </c>
      <c r="P298" s="497">
        <v>565001</v>
      </c>
      <c r="R298" s="498" t="s">
        <v>439</v>
      </c>
      <c r="S298" s="308"/>
      <c r="T298" s="308"/>
      <c r="U298" s="308"/>
      <c r="V298" s="498" t="s">
        <v>470</v>
      </c>
      <c r="W298" s="308"/>
      <c r="X298" s="499">
        <v>0</v>
      </c>
      <c r="Y298" s="308"/>
      <c r="Z298" s="500">
        <f>IF($X298=0,0,IF(SUM($Z295:$Z297)=0,$AB298,0))</f>
        <v>0</v>
      </c>
      <c r="AA298" s="308"/>
      <c r="AB298" s="501">
        <f t="shared" si="106"/>
        <v>1</v>
      </c>
      <c r="AC298" s="402"/>
      <c r="AD298" s="402"/>
      <c r="AE298" s="402"/>
      <c r="AF298" s="402"/>
      <c r="AG298" s="402"/>
      <c r="AH298" s="402"/>
      <c r="AI298" s="402"/>
      <c r="AJ298" s="402"/>
      <c r="AK298" s="402"/>
      <c r="AL298" s="411"/>
      <c r="AM298" s="402"/>
      <c r="AN298" s="402"/>
      <c r="AO298" s="383"/>
      <c r="AP298" s="402"/>
      <c r="AQ298" s="308"/>
      <c r="AR298" s="308"/>
      <c r="AS298" s="434"/>
    </row>
    <row r="299" spans="2:45" ht="13.5" hidden="1">
      <c r="B299" s="271" t="str">
        <f t="shared" si="105"/>
        <v>Hide</v>
      </c>
      <c r="P299" s="497">
        <f t="shared" ref="P299:P301" si="107">P298+1</f>
        <v>565002</v>
      </c>
      <c r="R299" s="498" t="s">
        <v>439</v>
      </c>
      <c r="S299" s="308"/>
      <c r="T299" s="308"/>
      <c r="U299" s="308"/>
      <c r="V299" s="498" t="s">
        <v>470</v>
      </c>
      <c r="W299" s="308"/>
      <c r="X299" s="499">
        <v>0</v>
      </c>
      <c r="Y299" s="308"/>
      <c r="Z299" s="500">
        <f>IF($X299=0,0,IF(SUM($Z295:$Z298)=0,$AB299,0))</f>
        <v>0</v>
      </c>
      <c r="AA299" s="308"/>
      <c r="AB299" s="501">
        <f t="shared" si="106"/>
        <v>1</v>
      </c>
      <c r="AC299" s="402"/>
      <c r="AD299" s="402"/>
      <c r="AE299" s="402"/>
      <c r="AF299" s="402"/>
      <c r="AG299" s="402"/>
      <c r="AH299" s="402"/>
      <c r="AI299" s="402"/>
      <c r="AJ299" s="402"/>
      <c r="AK299" s="402"/>
      <c r="AL299" s="411"/>
      <c r="AM299" s="402"/>
      <c r="AN299" s="402"/>
      <c r="AO299" s="383"/>
      <c r="AP299" s="402"/>
      <c r="AQ299" s="308"/>
      <c r="AR299" s="308"/>
      <c r="AS299" s="434"/>
    </row>
    <row r="300" spans="2:45" ht="13.5" hidden="1">
      <c r="B300" s="271" t="str">
        <f t="shared" si="105"/>
        <v>Hide</v>
      </c>
      <c r="P300" s="497">
        <f t="shared" si="107"/>
        <v>565003</v>
      </c>
      <c r="R300" s="498" t="s">
        <v>439</v>
      </c>
      <c r="S300" s="308"/>
      <c r="T300" s="308"/>
      <c r="U300" s="308"/>
      <c r="V300" s="498" t="s">
        <v>470</v>
      </c>
      <c r="W300" s="308"/>
      <c r="X300" s="499">
        <v>0</v>
      </c>
      <c r="Y300" s="308"/>
      <c r="Z300" s="500">
        <f>IF($X300=0,0,IF(SUM($Z295:$Z299)=0,$AB300,0))</f>
        <v>0</v>
      </c>
      <c r="AA300" s="308"/>
      <c r="AB300" s="501">
        <f t="shared" si="106"/>
        <v>1</v>
      </c>
      <c r="AC300" s="402"/>
      <c r="AD300" s="402"/>
      <c r="AE300" s="402"/>
      <c r="AF300" s="402"/>
      <c r="AG300" s="402"/>
      <c r="AH300" s="402"/>
      <c r="AI300" s="402"/>
      <c r="AJ300" s="402"/>
      <c r="AK300" s="402"/>
      <c r="AL300" s="411"/>
      <c r="AM300" s="402"/>
      <c r="AN300" s="402"/>
      <c r="AO300" s="383"/>
      <c r="AP300" s="402"/>
      <c r="AQ300" s="308"/>
      <c r="AR300" s="308"/>
      <c r="AS300" s="434"/>
    </row>
    <row r="301" spans="2:45" ht="13.5" hidden="1">
      <c r="B301" s="271" t="str">
        <f t="shared" si="105"/>
        <v>Hide</v>
      </c>
      <c r="P301" s="497">
        <f t="shared" si="107"/>
        <v>565004</v>
      </c>
      <c r="R301" s="498" t="s">
        <v>439</v>
      </c>
      <c r="S301" s="308"/>
      <c r="T301" s="308"/>
      <c r="U301" s="308"/>
      <c r="V301" s="498" t="s">
        <v>470</v>
      </c>
      <c r="W301" s="308"/>
      <c r="X301" s="499">
        <v>0</v>
      </c>
      <c r="Y301" s="308"/>
      <c r="Z301" s="500">
        <f>IF($X301=0,0,IF(SUM($Z295:$Z300)=0,$AB301,0))</f>
        <v>0</v>
      </c>
      <c r="AA301" s="308"/>
      <c r="AB301" s="501">
        <f t="shared" si="106"/>
        <v>1</v>
      </c>
      <c r="AC301" s="402"/>
      <c r="AD301" s="402"/>
      <c r="AE301" s="402"/>
      <c r="AF301" s="402"/>
      <c r="AG301" s="402"/>
      <c r="AH301" s="402"/>
      <c r="AI301" s="402"/>
      <c r="AJ301" s="402"/>
      <c r="AK301" s="402"/>
      <c r="AL301" s="411"/>
      <c r="AM301" s="402"/>
      <c r="AN301" s="402"/>
      <c r="AO301" s="383"/>
      <c r="AP301" s="402"/>
      <c r="AQ301" s="308"/>
      <c r="AR301" s="308"/>
      <c r="AS301" s="434"/>
    </row>
    <row r="302" spans="2:45" hidden="1">
      <c r="B302" s="271" t="str">
        <f t="shared" si="105"/>
        <v>Hide</v>
      </c>
      <c r="R302" s="498" t="s">
        <v>471</v>
      </c>
      <c r="S302" s="308"/>
      <c r="T302" s="308"/>
      <c r="U302" s="308"/>
      <c r="V302" s="308"/>
      <c r="W302" s="308"/>
      <c r="X302" s="502"/>
      <c r="Y302" s="308"/>
      <c r="Z302" s="500">
        <f>IF(SUM($Z295:$Z301)=0,$AB302,0)</f>
        <v>0</v>
      </c>
      <c r="AA302" s="308"/>
      <c r="AB302" s="501">
        <f t="shared" si="106"/>
        <v>1</v>
      </c>
      <c r="AC302" s="402"/>
      <c r="AD302" s="402"/>
      <c r="AE302" s="402"/>
      <c r="AF302" s="402"/>
      <c r="AG302" s="402"/>
      <c r="AH302" s="402"/>
      <c r="AI302" s="402"/>
      <c r="AJ302" s="402"/>
      <c r="AK302" s="402"/>
      <c r="AL302" s="411"/>
      <c r="AM302" s="402"/>
      <c r="AN302" s="402"/>
      <c r="AO302" s="383"/>
      <c r="AP302" s="402"/>
      <c r="AQ302" s="308"/>
      <c r="AR302" s="308"/>
      <c r="AS302" s="434"/>
    </row>
    <row r="303" spans="2:45" hidden="1">
      <c r="R303" s="308"/>
      <c r="S303" s="308"/>
      <c r="T303" s="308"/>
      <c r="U303" s="308"/>
      <c r="V303" s="308"/>
      <c r="W303" s="308"/>
      <c r="X303" s="308"/>
      <c r="Y303" s="308"/>
      <c r="Z303" s="308"/>
      <c r="AA303" s="308"/>
      <c r="AB303" s="402"/>
      <c r="AC303" s="402"/>
      <c r="AD303" s="402"/>
      <c r="AE303" s="402"/>
      <c r="AF303" s="402"/>
      <c r="AG303" s="402"/>
      <c r="AH303" s="402"/>
      <c r="AI303" s="402"/>
      <c r="AJ303" s="402"/>
      <c r="AK303" s="402"/>
      <c r="AL303" s="411"/>
      <c r="AM303" s="402"/>
      <c r="AN303" s="402"/>
      <c r="AO303" s="383"/>
      <c r="AP303" s="402"/>
      <c r="AQ303" s="308"/>
      <c r="AR303" s="308"/>
      <c r="AS303" s="434"/>
    </row>
    <row r="304" spans="2:45" ht="15.6" customHeight="1">
      <c r="R304" s="378" t="s">
        <v>472</v>
      </c>
      <c r="S304" s="308"/>
      <c r="T304" s="308"/>
      <c r="U304" s="308"/>
      <c r="V304" s="308"/>
      <c r="W304" s="308"/>
      <c r="X304" s="308"/>
      <c r="Y304" s="308"/>
      <c r="Z304" s="308"/>
      <c r="AA304" s="308"/>
      <c r="AB304" s="402"/>
      <c r="AC304" s="402"/>
      <c r="AD304" s="402"/>
      <c r="AE304" s="402"/>
      <c r="AF304" s="402"/>
      <c r="AG304" s="402"/>
      <c r="AH304" s="402"/>
      <c r="AI304" s="402"/>
      <c r="AJ304" s="402"/>
      <c r="AK304" s="402"/>
      <c r="AL304" s="384">
        <f>AL273-AF273</f>
        <v>92995</v>
      </c>
      <c r="AM304" s="402"/>
      <c r="AN304" s="402"/>
      <c r="AO304" s="383"/>
      <c r="AP304" s="402"/>
      <c r="AQ304" s="308"/>
      <c r="AR304" s="308"/>
      <c r="AS304" s="385" t="s">
        <v>473</v>
      </c>
    </row>
    <row r="305" spans="18:45">
      <c r="R305" s="503"/>
      <c r="S305" s="503"/>
      <c r="T305" s="503"/>
      <c r="U305" s="503"/>
      <c r="V305" s="503"/>
      <c r="W305" s="503"/>
      <c r="X305" s="503"/>
      <c r="Y305" s="503"/>
      <c r="Z305" s="503"/>
      <c r="AA305" s="503"/>
      <c r="AB305" s="503"/>
      <c r="AC305" s="503"/>
      <c r="AD305" s="503"/>
      <c r="AE305" s="503"/>
      <c r="AF305" s="503"/>
      <c r="AG305" s="503"/>
      <c r="AH305" s="503"/>
      <c r="AI305" s="503"/>
      <c r="AJ305" s="503"/>
      <c r="AK305" s="503"/>
      <c r="AL305" s="503"/>
      <c r="AM305" s="503"/>
      <c r="AN305" s="503"/>
      <c r="AO305" s="503"/>
      <c r="AP305" s="503"/>
      <c r="AQ305" s="503"/>
      <c r="AR305" s="503"/>
      <c r="AS305" s="504"/>
    </row>
    <row r="306" spans="18:45">
      <c r="R306" s="503"/>
      <c r="S306" s="503"/>
      <c r="T306" s="503"/>
      <c r="U306" s="503"/>
      <c r="V306" s="503"/>
      <c r="W306" s="503"/>
      <c r="X306" s="503"/>
      <c r="Y306" s="503"/>
      <c r="Z306" s="503"/>
      <c r="AA306" s="503"/>
      <c r="AB306" s="503"/>
      <c r="AC306" s="503"/>
      <c r="AD306" s="503"/>
      <c r="AE306" s="503"/>
      <c r="AF306" s="503"/>
      <c r="AG306" s="503"/>
      <c r="AH306" s="503"/>
      <c r="AI306" s="503"/>
      <c r="AJ306" s="503"/>
      <c r="AK306" s="503"/>
      <c r="AL306" s="503"/>
      <c r="AM306" s="503"/>
      <c r="AN306" s="503"/>
      <c r="AO306" s="503"/>
      <c r="AP306" s="503"/>
      <c r="AQ306" s="503"/>
      <c r="AR306" s="503"/>
      <c r="AS306" s="504"/>
    </row>
    <row r="307" spans="18:45">
      <c r="R307" s="503"/>
      <c r="S307" s="503"/>
      <c r="T307" s="503"/>
      <c r="U307" s="503"/>
      <c r="V307" s="503"/>
      <c r="W307" s="503"/>
      <c r="X307" s="503"/>
      <c r="Y307" s="503"/>
      <c r="Z307" s="503"/>
      <c r="AA307" s="503"/>
      <c r="AB307" s="503"/>
      <c r="AC307" s="503"/>
      <c r="AD307" s="503"/>
      <c r="AE307" s="503"/>
      <c r="AF307" s="503"/>
      <c r="AG307" s="503"/>
      <c r="AH307" s="503"/>
      <c r="AI307" s="503"/>
      <c r="AJ307" s="503"/>
      <c r="AK307" s="503"/>
      <c r="AL307" s="1423" t="s">
        <v>474</v>
      </c>
      <c r="AM307" s="1423"/>
      <c r="AN307" s="1423"/>
      <c r="AO307" s="1423"/>
      <c r="AP307" s="1423"/>
      <c r="AQ307" s="503"/>
      <c r="AR307" s="503"/>
      <c r="AS307" s="504"/>
    </row>
    <row r="308" spans="18:45">
      <c r="R308" s="503"/>
      <c r="S308" s="503"/>
      <c r="T308" s="503"/>
      <c r="U308" s="503"/>
      <c r="V308" s="503"/>
      <c r="W308" s="503"/>
      <c r="X308" s="503"/>
      <c r="Y308" s="503"/>
      <c r="Z308" s="503"/>
      <c r="AA308" s="503"/>
      <c r="AB308" s="503"/>
      <c r="AC308" s="503"/>
      <c r="AD308" s="503"/>
      <c r="AE308" s="503"/>
      <c r="AF308" s="503"/>
      <c r="AG308" s="503"/>
      <c r="AH308" s="503"/>
      <c r="AI308" s="503"/>
      <c r="AJ308" s="503"/>
      <c r="AK308" s="503"/>
      <c r="AL308" s="505" t="s">
        <v>475</v>
      </c>
      <c r="AM308" s="506"/>
      <c r="AN308" s="352"/>
      <c r="AO308" s="352"/>
      <c r="AP308" s="423">
        <f ca="1">AP247-AP97-AP54-AP53-AP52-AP38</f>
        <v>1850042</v>
      </c>
      <c r="AQ308" s="503"/>
      <c r="AR308" s="503"/>
      <c r="AS308" s="504"/>
    </row>
    <row r="309" spans="18:45">
      <c r="R309" s="503"/>
      <c r="S309" s="503"/>
      <c r="T309" s="503"/>
      <c r="U309" s="503"/>
      <c r="V309" s="503"/>
      <c r="W309" s="503"/>
      <c r="X309" s="503"/>
      <c r="Y309" s="503"/>
      <c r="Z309" s="503"/>
      <c r="AA309" s="503"/>
      <c r="AB309" s="503"/>
      <c r="AC309" s="503"/>
      <c r="AD309" s="503"/>
      <c r="AE309" s="503"/>
      <c r="AF309" s="503"/>
      <c r="AG309" s="503"/>
      <c r="AH309" s="503"/>
      <c r="AI309" s="503"/>
      <c r="AJ309" s="503"/>
      <c r="AK309" s="503"/>
      <c r="AL309" s="507" t="s">
        <v>476</v>
      </c>
      <c r="AM309" s="508"/>
      <c r="AN309" s="509"/>
      <c r="AO309" s="509"/>
      <c r="AP309" s="510">
        <v>1850042</v>
      </c>
      <c r="AQ309" s="503"/>
      <c r="AR309" s="503"/>
      <c r="AS309" s="504"/>
    </row>
    <row r="310" spans="18:45">
      <c r="R310" s="503"/>
      <c r="S310" s="503"/>
      <c r="T310" s="503"/>
      <c r="U310" s="503"/>
      <c r="V310" s="503"/>
      <c r="W310" s="503"/>
      <c r="X310" s="503"/>
      <c r="Y310" s="503"/>
      <c r="Z310" s="503"/>
      <c r="AA310" s="503"/>
      <c r="AB310" s="503"/>
      <c r="AC310" s="503"/>
      <c r="AD310" s="503"/>
      <c r="AE310" s="503"/>
      <c r="AF310" s="503"/>
      <c r="AG310" s="503"/>
      <c r="AH310" s="503"/>
      <c r="AI310" s="503"/>
      <c r="AJ310" s="503"/>
      <c r="AK310" s="503"/>
      <c r="AL310" s="505" t="s">
        <v>477</v>
      </c>
      <c r="AM310" s="506"/>
      <c r="AN310" s="352"/>
      <c r="AO310" s="352"/>
      <c r="AP310" s="511">
        <f ca="1">AP308-AP309</f>
        <v>0</v>
      </c>
      <c r="AQ310" s="503"/>
      <c r="AR310" s="503"/>
      <c r="AS310" s="504"/>
    </row>
    <row r="311" spans="18:45">
      <c r="R311" s="1467"/>
      <c r="S311" s="1467"/>
      <c r="T311" s="1467"/>
      <c r="U311" s="1467"/>
      <c r="V311" s="1467"/>
      <c r="W311" s="1467"/>
      <c r="X311" s="1467"/>
      <c r="Y311" s="1467"/>
      <c r="Z311" s="1467"/>
      <c r="AA311" s="1467"/>
      <c r="AB311" s="1467"/>
      <c r="AC311" s="1467"/>
      <c r="AD311" s="1467"/>
      <c r="AE311" s="1467"/>
      <c r="AF311" s="1467"/>
      <c r="AG311" s="1467"/>
      <c r="AH311" s="1467"/>
      <c r="AI311" s="1467"/>
      <c r="AJ311" s="1468" t="s">
        <v>7934</v>
      </c>
      <c r="AK311" s="503"/>
      <c r="AL311" s="505" t="s">
        <v>478</v>
      </c>
      <c r="AM311" s="506"/>
      <c r="AN311" s="352"/>
      <c r="AO311" s="352"/>
      <c r="AP311" s="1469">
        <f ca="1">AP310/AP309</f>
        <v>0</v>
      </c>
      <c r="AQ311" s="503"/>
      <c r="AR311" s="503"/>
      <c r="AS311" s="334" t="s">
        <v>479</v>
      </c>
    </row>
  </sheetData>
  <sheetProtection selectLockedCells="1" selectUnlockedCells="1"/>
  <mergeCells count="7">
    <mergeCell ref="AL307:AP307"/>
    <mergeCell ref="R25:AP25"/>
    <mergeCell ref="R26:AP26"/>
    <mergeCell ref="R27:AP27"/>
    <mergeCell ref="P29:AP29"/>
    <mergeCell ref="P35:AP35"/>
    <mergeCell ref="R36:AP36"/>
  </mergeCells>
  <printOptions horizontalCentered="1"/>
  <pageMargins left="0.5" right="0.5" top="1.5166666666666666" bottom="1.1777777777777776" header="0.4" footer="0.35"/>
  <pageSetup scale="70" firstPageNumber="0" orientation="landscape" horizontalDpi="300" verticalDpi="300" r:id="rId1"/>
  <headerFooter alignWithMargins="0">
    <oddHeader>&amp;L&amp;"Arial black,Bold"&amp;15HARMONY
Community Development District&amp;R&amp;"Arial,Italic"&amp;13eneral Fund</oddHeader>
    <oddFooter>&amp;L     Fiscal Year 2017
     Annual Operating and Debt Service Budget</oddFooter>
  </headerFooter>
  <rowBreaks count="3" manualBreakCount="3">
    <brk id="73" max="16383" man="1"/>
    <brk id="113" max="16383" man="1"/>
    <brk id="1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51</vt:i4>
      </vt:variant>
    </vt:vector>
  </HeadingPairs>
  <TitlesOfParts>
    <vt:vector size="88" baseType="lpstr">
      <vt:lpstr>Modification</vt:lpstr>
      <vt:lpstr>Overview</vt:lpstr>
      <vt:lpstr>COVER_PAGE</vt:lpstr>
      <vt:lpstr>Remove_Empty</vt:lpstr>
      <vt:lpstr>Options</vt:lpstr>
      <vt:lpstr>TOC</vt:lpstr>
      <vt:lpstr>TABS</vt:lpstr>
      <vt:lpstr>Assess_Detail </vt:lpstr>
      <vt:lpstr>001</vt:lpstr>
      <vt:lpstr>201</vt:lpstr>
      <vt:lpstr>Exhibit A</vt:lpstr>
      <vt:lpstr>202</vt:lpstr>
      <vt:lpstr>203</vt:lpstr>
      <vt:lpstr>Amort 2014</vt:lpstr>
      <vt:lpstr>204</vt:lpstr>
      <vt:lpstr>Amort 2015</vt:lpstr>
      <vt:lpstr>Exhibit B</vt:lpstr>
      <vt:lpstr>Assess_Rates-Rev1</vt:lpstr>
      <vt:lpstr>Balance_Sheet</vt:lpstr>
      <vt:lpstr>Calc_wksht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</vt:lpstr>
      <vt:lpstr>Sheet2</vt:lpstr>
      <vt:lpstr>Sheet3</vt:lpstr>
      <vt:lpstr>Sheet4</vt:lpstr>
      <vt:lpstr>Sheet5</vt:lpstr>
      <vt:lpstr>Sheet6</vt:lpstr>
      <vt:lpstr>Sheet15</vt:lpstr>
      <vt:lpstr>Sheet16</vt:lpstr>
      <vt:lpstr>Assess_Rates-R1U1</vt:lpstr>
      <vt:lpstr>Bal_bud</vt:lpstr>
      <vt:lpstr>Budget_draft</vt:lpstr>
      <vt:lpstr>Budget_Fiscal_Year</vt:lpstr>
      <vt:lpstr>CDD</vt:lpstr>
      <vt:lpstr>CDD_NAME</vt:lpstr>
      <vt:lpstr>COGS</vt:lpstr>
      <vt:lpstr>District_Name</vt:lpstr>
      <vt:lpstr>End_date_SOR</vt:lpstr>
      <vt:lpstr>Fund_no</vt:lpstr>
      <vt:lpstr>GASB54</vt:lpstr>
      <vt:lpstr>Hide_PT</vt:lpstr>
      <vt:lpstr>Include_Nav</vt:lpstr>
      <vt:lpstr>New_FundNo_BS</vt:lpstr>
      <vt:lpstr>OVERRIDE_DN</vt:lpstr>
      <vt:lpstr>OVERRIDE_TYPE</vt:lpstr>
      <vt:lpstr>'001'!Print_Area</vt:lpstr>
      <vt:lpstr>'201'!Print_Area</vt:lpstr>
      <vt:lpstr>'202'!Print_Area</vt:lpstr>
      <vt:lpstr>'203'!Print_Area</vt:lpstr>
      <vt:lpstr>'204'!Print_Area</vt:lpstr>
      <vt:lpstr>'Amort 2014'!Print_Area</vt:lpstr>
      <vt:lpstr>'Amort 2015'!Print_Area</vt:lpstr>
      <vt:lpstr>'Assess_Detail '!Print_Area</vt:lpstr>
      <vt:lpstr>'Assess_Rates-R1U1'!Print_Area</vt:lpstr>
      <vt:lpstr>'Assess_Rates-Rev1'!Print_Area</vt:lpstr>
      <vt:lpstr>Balance_Sheet!Print_Area</vt:lpstr>
      <vt:lpstr>Calc_wksht!Print_Area</vt:lpstr>
      <vt:lpstr>COVER_PAGE!Print_Area</vt:lpstr>
      <vt:lpstr>'Exhibit A'!Print_Area</vt:lpstr>
      <vt:lpstr>'Exhibit B'!Print_Area</vt:lpstr>
      <vt:lpstr>Modification!Print_Area</vt:lpstr>
      <vt:lpstr>Overview!Print_Area</vt:lpstr>
      <vt:lpstr>TABS!Print_Area</vt:lpstr>
      <vt:lpstr>TOC!Print_Area</vt:lpstr>
      <vt:lpstr>'001'!Print_Titles</vt:lpstr>
      <vt:lpstr>'201'!Print_Titles</vt:lpstr>
      <vt:lpstr>'202'!Print_Titles</vt:lpstr>
      <vt:lpstr>'203'!Print_Titles</vt:lpstr>
      <vt:lpstr>'204'!Print_Titles</vt:lpstr>
      <vt:lpstr>'Amort 2014'!Print_Titles</vt:lpstr>
      <vt:lpstr>'Amort 2015'!Print_Titles</vt:lpstr>
      <vt:lpstr>'Assess_Detail '!Print_Titles</vt:lpstr>
      <vt:lpstr>'Assess_Rates-Rev1'!Print_Titles</vt:lpstr>
      <vt:lpstr>Balance_Sheet!Print_Titles</vt:lpstr>
      <vt:lpstr>PY_actuals</vt:lpstr>
      <vt:lpstr>PY_budgets</vt:lpstr>
      <vt:lpstr>Show_acct</vt:lpstr>
      <vt:lpstr>Show_total_wo</vt:lpstr>
      <vt:lpstr>Subaccount</vt:lpstr>
      <vt:lpstr>SubAcctName</vt:lpstr>
      <vt:lpstr>Subtotal_Rev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Harmony Budget FY 2017</dc:title>
  <dc:creator>Sherman Glass</dc:creator>
  <cp:lastModifiedBy>Dave</cp:lastModifiedBy>
  <cp:revision>5</cp:revision>
  <cp:lastPrinted>2016-06-23T19:14:24Z</cp:lastPrinted>
  <dcterms:created xsi:type="dcterms:W3CDTF">2007-01-29T13:43:39Z</dcterms:created>
  <dcterms:modified xsi:type="dcterms:W3CDTF">2016-07-01T00:53:11Z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0x0101005DEF6C0097C1244EBC5284C961C5E5640100A278DF4B90020841B15F3A7688460FC1</vt:lpwstr>
  </property>
  <property fmtid="{D5CDD505-2E9C-101B-9397-08002B2CF9AE}" pid="3" name="DM-Creator">
    <vt:lpwstr/>
  </property>
  <property fmtid="{D5CDD505-2E9C-101B-9397-08002B2CF9AE}" pid="4" name="DM-DocID">
    <vt:lpwstr/>
  </property>
  <property fmtid="{D5CDD505-2E9C-101B-9397-08002B2CF9AE}" pid="5" name="DM-Last Editor">
    <vt:lpwstr/>
  </property>
  <property fmtid="{D5CDD505-2E9C-101B-9397-08002B2CF9AE}" pid="6" name="DM-VerYN">
    <vt:lpwstr/>
  </property>
  <property fmtid="{D5CDD505-2E9C-101B-9397-08002B2CF9AE}" pid="7" name="DM_Links_Updated">
    <vt:bool>true</vt:bool>
  </property>
  <property fmtid="{D5CDD505-2E9C-101B-9397-08002B2CF9AE}" pid="8" name="Jet Reports Design Mode Active">
    <vt:bool>false</vt:bool>
  </property>
  <property fmtid="{D5CDD505-2E9C-101B-9397-08002B2CF9AE}" pid="9" name="Jet Reports Drill Button Active">
    <vt:bool>true</vt:bool>
  </property>
  <property fmtid="{D5CDD505-2E9C-101B-9397-08002B2CF9AE}" pid="10" name="Jet Reports Last Version Refresh">
    <vt:lpwstr>Version 7.1.2  Released 3/16/2009 3:09:32 PM</vt:lpwstr>
  </property>
  <property fmtid="{D5CDD505-2E9C-101B-9397-08002B2CF9AE}" pid="11" name="KpiDescription">
    <vt:lpwstr/>
  </property>
  <property fmtid="{D5CDD505-2E9C-101B-9397-08002B2CF9AE}" pid="12" name="MS-Client Name">
    <vt:lpwstr>223;#Harmony|09c4248c-a168-40e0-8ce1-d133004984b0</vt:lpwstr>
  </property>
  <property fmtid="{D5CDD505-2E9C-101B-9397-08002B2CF9AE}" pid="13" name="MS-Client Type">
    <vt:lpwstr>63;#District|7f4223ed-fead-4116-ab91-523c8d37808d</vt:lpwstr>
  </property>
  <property fmtid="{D5CDD505-2E9C-101B-9397-08002B2CF9AE}" pid="14" name="MS-DM-Document Type">
    <vt:lpwstr/>
  </property>
  <property fmtid="{D5CDD505-2E9C-101B-9397-08002B2CF9AE}" pid="15" name="MS-DM-Subject">
    <vt:lpwstr/>
  </property>
  <property fmtid="{D5CDD505-2E9C-101B-9397-08002B2CF9AE}" pid="16" name="MS-Department">
    <vt:lpwstr>59;#Finance|1c9d92b2-6f0b-464d-96d9-60a147b0445c</vt:lpwstr>
  </property>
  <property fmtid="{D5CDD505-2E9C-101B-9397-08002B2CF9AE}" pid="17" name="MS-Document Type">
    <vt:lpwstr>123;#Budget Document|74f326e7-d3ea-4e6e-a806-93992e3aa250</vt:lpwstr>
  </property>
  <property fmtid="{D5CDD505-2E9C-101B-9397-08002B2CF9AE}" pid="18" name="MS-Location">
    <vt:lpwstr>64;#Southeast, Fl|6baac9fb-1baa-4f16-9c69-b4293cafb72a</vt:lpwstr>
  </property>
  <property fmtid="{D5CDD505-2E9C-101B-9397-08002B2CF9AE}" pid="19" name="MS-Sub Department">
    <vt:lpwstr>58;#Not Applicable|bd110ab4-5bac-43e6-af75-ca898a523bd2</vt:lpwstr>
  </property>
  <property fmtid="{D5CDD505-2E9C-101B-9397-08002B2CF9AE}" pid="20" name="NeedsREVERT">
    <vt:lpwstr>FALSE</vt:lpwstr>
  </property>
  <property fmtid="{D5CDD505-2E9C-101B-9397-08002B2CF9AE}" pid="21" name="OriginalName">
    <vt:lpwstr>Proposedbudget_v20.xls</vt:lpwstr>
  </property>
  <property fmtid="{D5CDD505-2E9C-101B-9397-08002B2CF9AE}" pid="22" name="SharedWithUsers">
    <vt:lpwstr>47;#Moore, Elizabeth J</vt:lpwstr>
  </property>
  <property fmtid="{D5CDD505-2E9C-101B-9397-08002B2CF9AE}" pid="23" name="TaxCatchAll">
    <vt:lpwstr>64;#;#63;#;#59;#;#58;#;#123;#;#223;#</vt:lpwstr>
  </property>
  <property fmtid="{D5CDD505-2E9C-101B-9397-08002B2CF9AE}" pid="24" name="TaxKeyword">
    <vt:lpwstr/>
  </property>
  <property fmtid="{D5CDD505-2E9C-101B-9397-08002B2CF9AE}" pid="25" name="TaxKeywordTaxHTField">
    <vt:lpwstr/>
  </property>
  <property fmtid="{D5CDD505-2E9C-101B-9397-08002B2CF9AE}" pid="26" name="c87a3d1eb4ea48299c5c1ae2cf3d881c">
    <vt:lpwstr>Finance1c9d92b2-6f0b-464d-96d9-60a147b0445c</vt:lpwstr>
  </property>
  <property fmtid="{D5CDD505-2E9C-101B-9397-08002B2CF9AE}" pid="27" name="f96c1bda75a84429a012e7c6f82d88e0">
    <vt:lpwstr>Budget Document74f326e7-d3ea-4e6e-a806-93992e3aa250</vt:lpwstr>
  </property>
  <property fmtid="{D5CDD505-2E9C-101B-9397-08002B2CF9AE}" pid="28" name="iadf98b708bc4692b6fe123040b55e72">
    <vt:lpwstr/>
  </property>
  <property fmtid="{D5CDD505-2E9C-101B-9397-08002B2CF9AE}" pid="29" name="l01c0dfe7f654decaa496149e07bdd06">
    <vt:lpwstr>District7f4223ed-fead-4116-ab91-523c8d37808d</vt:lpwstr>
  </property>
  <property fmtid="{D5CDD505-2E9C-101B-9397-08002B2CF9AE}" pid="30" name="meca655177e44cbaa18f3be3540377d3">
    <vt:lpwstr>Not Applicablebd110ab4-5bac-43e6-af75-ca898a523bd2</vt:lpwstr>
  </property>
  <property fmtid="{D5CDD505-2E9C-101B-9397-08002B2CF9AE}" pid="31" name="p5847ac09e9a464a9e8969fde4c03364">
    <vt:lpwstr>Harmony09c4248c-a168-40e0-8ce1-d133004984b0</vt:lpwstr>
  </property>
  <property fmtid="{D5CDD505-2E9C-101B-9397-08002B2CF9AE}" pid="32" name="pff1c19fd659468f9c649019961d5936">
    <vt:lpwstr>Southeast, Fl6baac9fb-1baa-4f16-9c69-b4293cafb72a</vt:lpwstr>
  </property>
</Properties>
</file>